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FED474F8-72E9-4D90-B8B0-D7F565C84FDB}" xr6:coauthVersionLast="47" xr6:coauthVersionMax="47" xr10:uidLastSave="{00000000-0000-0000-0000-000000000000}"/>
  <bookViews>
    <workbookView xWindow="-120" yWindow="-120" windowWidth="20730" windowHeight="11040" tabRatio="889" firstSheet="7" activeTab="11" xr2:uid="{00000000-000D-0000-FFFF-FFFF00000000}"/>
  </bookViews>
  <sheets>
    <sheet name="Export destin -Uitvoer bestem." sheetId="9" r:id="rId1"/>
    <sheet name="Geelmielie uitvoere" sheetId="19" r:id="rId2"/>
    <sheet name="Witmielie uitvoere" sheetId="18" r:id="rId3"/>
    <sheet name="Cumulative YM Exports" sheetId="17" r:id="rId4"/>
    <sheet name="Weeklikse uitvoere" sheetId="11" r:id="rId5"/>
    <sheet name="Cumulative WM Exports" sheetId="16" r:id="rId6"/>
    <sheet name="Cumulative Total Maize Exports" sheetId="14" r:id="rId7"/>
    <sheet name="Chart - Cum. uitvoere-exports" sheetId="12" r:id="rId8"/>
    <sheet name="Chart - Cum. invoere-impor " sheetId="13" r:id="rId9"/>
    <sheet name="Imports from - Invoere vanaf " sheetId="8" r:id="rId10"/>
    <sheet name="Vorige - Prev Weekliks-Weekly" sheetId="29" r:id="rId11"/>
    <sheet name="Weekliks-Weekly" sheetId="32" r:id="rId12"/>
    <sheet name="Cummulative exports" sheetId="31" r:id="rId13"/>
    <sheet name="Sheet1" sheetId="30" r:id="rId14"/>
    <sheet name="White Imports other countries" sheetId="25" state="hidden" r:id="rId15"/>
    <sheet name="Yellow Imports other countries" sheetId="26" state="hidden" r:id="rId16"/>
    <sheet name="White export for import" sheetId="27" state="hidden" r:id="rId17"/>
    <sheet name="Yellow export for import" sheetId="28" state="hidden" r:id="rId18"/>
    <sheet name="WM Imports per harbour" sheetId="23" state="hidden" r:id="rId19"/>
    <sheet name="YM Imports per harbour" sheetId="24" state="hidden" r:id="rId20"/>
  </sheets>
  <definedNames>
    <definedName name="_xlnm.Print_Area" localSheetId="0">'Export destin -Uitvoer bestem.'!$A$1:$S$95</definedName>
    <definedName name="_xlnm.Print_Area" localSheetId="9">'Imports from - Invoere vanaf 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5" i="9" l="1"/>
  <c r="N89" i="9"/>
  <c r="N61" i="9"/>
  <c r="N60" i="9"/>
  <c r="N59" i="9"/>
  <c r="N58" i="9"/>
  <c r="N57" i="9"/>
  <c r="O53" i="9"/>
  <c r="N14" i="9"/>
  <c r="N13" i="9"/>
  <c r="N12" i="9"/>
  <c r="N11" i="9"/>
  <c r="N10" i="9"/>
  <c r="N9" i="9"/>
  <c r="G6" i="9"/>
  <c r="G5" i="9"/>
  <c r="B4" i="8"/>
  <c r="N86" i="9"/>
  <c r="N45" i="9" l="1"/>
  <c r="N70" i="9" l="1"/>
  <c r="M30" i="32"/>
  <c r="M31" i="32" s="1"/>
  <c r="M32" i="32" s="1"/>
  <c r="M33" i="32" s="1"/>
  <c r="M34" i="32" s="1"/>
  <c r="M35" i="32" s="1"/>
  <c r="M36" i="32" s="1"/>
  <c r="M37" i="32" s="1"/>
  <c r="M38" i="32" s="1"/>
  <c r="M39" i="32" s="1"/>
  <c r="M40" i="32" s="1"/>
  <c r="M41" i="32" s="1"/>
  <c r="M42" i="32" s="1"/>
  <c r="M43" i="32" s="1"/>
  <c r="M44" i="32" s="1"/>
  <c r="M45" i="32" s="1"/>
  <c r="M46" i="32" s="1"/>
  <c r="M47" i="32" s="1"/>
  <c r="M48" i="32" s="1"/>
  <c r="M49" i="32" s="1"/>
  <c r="M50" i="32" s="1"/>
  <c r="M51" i="32" s="1"/>
  <c r="M52" i="32" s="1"/>
  <c r="M53" i="32" s="1"/>
  <c r="N9" i="32"/>
  <c r="M9" i="32"/>
  <c r="M54" i="32" l="1"/>
  <c r="M55" i="32" s="1"/>
  <c r="C4" i="9"/>
  <c r="N64" i="9"/>
  <c r="N83" i="9"/>
  <c r="N79" i="9"/>
  <c r="N73" i="9"/>
  <c r="N26" i="9"/>
  <c r="M56" i="32" l="1"/>
  <c r="N93" i="9"/>
  <c r="N63" i="9"/>
  <c r="N27" i="9"/>
  <c r="B5" i="8"/>
  <c r="N62" i="9"/>
  <c r="N47" i="9"/>
  <c r="N95" i="9" l="1"/>
  <c r="Q24" i="30" l="1"/>
  <c r="R24" i="30"/>
  <c r="Q25" i="30"/>
  <c r="R25" i="30"/>
  <c r="Q26" i="30"/>
  <c r="R26" i="30"/>
  <c r="Q27" i="30"/>
  <c r="R27" i="30"/>
  <c r="Q28" i="30"/>
  <c r="R28" i="30"/>
  <c r="Q29" i="30"/>
  <c r="R29" i="30"/>
  <c r="Q30" i="30"/>
  <c r="R30" i="30"/>
  <c r="Q31" i="30"/>
  <c r="R31" i="30"/>
  <c r="Q32" i="30"/>
  <c r="R32" i="30"/>
  <c r="Q33" i="30"/>
  <c r="R33" i="30"/>
  <c r="Q34" i="30"/>
  <c r="R34" i="30"/>
  <c r="Q35" i="30"/>
  <c r="R35" i="30"/>
  <c r="Q36" i="30"/>
  <c r="R36" i="30"/>
  <c r="Q37" i="30"/>
  <c r="R37" i="30"/>
  <c r="Q38" i="30"/>
  <c r="R38" i="30"/>
  <c r="Q39" i="30"/>
  <c r="R39" i="30"/>
  <c r="Q40" i="30"/>
  <c r="R40" i="30"/>
  <c r="Q41" i="30"/>
  <c r="R41" i="30"/>
  <c r="Q42" i="30"/>
  <c r="R42" i="30"/>
  <c r="Q43" i="30"/>
  <c r="R43" i="30"/>
  <c r="Q44" i="30"/>
  <c r="R44" i="30"/>
  <c r="Q45" i="30"/>
  <c r="R45" i="30"/>
  <c r="Q46" i="30"/>
  <c r="R46" i="30"/>
  <c r="Q47" i="30"/>
  <c r="R47" i="30"/>
  <c r="Q48" i="30"/>
  <c r="R48" i="30"/>
  <c r="Q49" i="30"/>
  <c r="R49" i="30"/>
  <c r="Q50" i="30"/>
  <c r="R50" i="30"/>
  <c r="Q51" i="30"/>
  <c r="R51" i="30"/>
  <c r="Q52" i="30"/>
  <c r="R52" i="30"/>
  <c r="Q53" i="30"/>
  <c r="R5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28" i="30"/>
  <c r="O29" i="30"/>
  <c r="O30" i="30"/>
  <c r="O31" i="30"/>
  <c r="O32" i="30"/>
  <c r="O33" i="30"/>
  <c r="T61" i="32"/>
  <c r="S61" i="32"/>
  <c r="J61" i="32"/>
  <c r="I61" i="32"/>
  <c r="E61" i="32"/>
  <c r="T60" i="32"/>
  <c r="S60" i="32"/>
  <c r="J60" i="32"/>
  <c r="I60" i="32"/>
  <c r="E60" i="32"/>
  <c r="T59" i="32"/>
  <c r="S59" i="32"/>
  <c r="J59" i="32"/>
  <c r="I59" i="32"/>
  <c r="F59" i="32"/>
  <c r="F60" i="32" s="1"/>
  <c r="F61" i="32" s="1"/>
  <c r="U61" i="32" s="1"/>
  <c r="E59" i="32"/>
  <c r="U59" i="32" s="1"/>
  <c r="T58" i="32"/>
  <c r="S58" i="32"/>
  <c r="J58" i="32"/>
  <c r="I58" i="32"/>
  <c r="F58" i="32"/>
  <c r="E58" i="32"/>
  <c r="U58" i="32" s="1"/>
  <c r="T57" i="32"/>
  <c r="S57" i="32"/>
  <c r="J57" i="32"/>
  <c r="I57" i="32"/>
  <c r="F57" i="32"/>
  <c r="E57" i="32"/>
  <c r="U57" i="32" s="1"/>
  <c r="T56" i="32"/>
  <c r="S56" i="32"/>
  <c r="J56" i="32"/>
  <c r="I56" i="32"/>
  <c r="F56" i="32"/>
  <c r="E56" i="32"/>
  <c r="U56" i="32" s="1"/>
  <c r="T55" i="32"/>
  <c r="S55" i="32"/>
  <c r="J55" i="32"/>
  <c r="I55" i="32"/>
  <c r="F55" i="32"/>
  <c r="E55" i="32"/>
  <c r="U55" i="32" s="1"/>
  <c r="T54" i="32"/>
  <c r="S54" i="32"/>
  <c r="J54" i="32"/>
  <c r="I54" i="32"/>
  <c r="F54" i="32"/>
  <c r="E54" i="32"/>
  <c r="U54" i="32" s="1"/>
  <c r="T53" i="32"/>
  <c r="S53" i="32"/>
  <c r="J53" i="32"/>
  <c r="I53" i="32"/>
  <c r="F53" i="32"/>
  <c r="E53" i="32"/>
  <c r="U53" i="32" s="1"/>
  <c r="T52" i="32"/>
  <c r="S52" i="32"/>
  <c r="J52" i="32"/>
  <c r="I52" i="32"/>
  <c r="F52" i="32"/>
  <c r="E52" i="32"/>
  <c r="U52" i="32" s="1"/>
  <c r="T51" i="32"/>
  <c r="S51" i="32"/>
  <c r="J51" i="32"/>
  <c r="I51" i="32"/>
  <c r="F51" i="32"/>
  <c r="E51" i="32"/>
  <c r="U51" i="32" s="1"/>
  <c r="T50" i="32"/>
  <c r="S50" i="32"/>
  <c r="J50" i="32"/>
  <c r="I50" i="32"/>
  <c r="F50" i="32"/>
  <c r="E50" i="32"/>
  <c r="U50" i="32" s="1"/>
  <c r="T49" i="32"/>
  <c r="S49" i="32"/>
  <c r="J49" i="32"/>
  <c r="I49" i="32"/>
  <c r="F49" i="32"/>
  <c r="E49" i="32"/>
  <c r="U49" i="32" s="1"/>
  <c r="T48" i="32"/>
  <c r="S48" i="32"/>
  <c r="J48" i="32"/>
  <c r="I48" i="32"/>
  <c r="F48" i="32"/>
  <c r="E48" i="32"/>
  <c r="U48" i="32" s="1"/>
  <c r="T47" i="32"/>
  <c r="S47" i="32"/>
  <c r="J47" i="32"/>
  <c r="I47" i="32"/>
  <c r="F47" i="32"/>
  <c r="E47" i="32"/>
  <c r="U47" i="32" s="1"/>
  <c r="T46" i="32"/>
  <c r="S46" i="32"/>
  <c r="J46" i="32"/>
  <c r="I46" i="32"/>
  <c r="F46" i="32"/>
  <c r="E46" i="32"/>
  <c r="U46" i="32" s="1"/>
  <c r="T45" i="32"/>
  <c r="S45" i="32"/>
  <c r="J45" i="32"/>
  <c r="I45" i="32"/>
  <c r="F45" i="32"/>
  <c r="E45" i="32"/>
  <c r="U45" i="32" s="1"/>
  <c r="T44" i="32"/>
  <c r="S44" i="32"/>
  <c r="J44" i="32"/>
  <c r="I44" i="32"/>
  <c r="F44" i="32"/>
  <c r="E44" i="32"/>
  <c r="U44" i="32" s="1"/>
  <c r="T43" i="32"/>
  <c r="S43" i="32"/>
  <c r="J43" i="32"/>
  <c r="I43" i="32"/>
  <c r="F43" i="32"/>
  <c r="E43" i="32"/>
  <c r="U43" i="32" s="1"/>
  <c r="T42" i="32"/>
  <c r="S42" i="32"/>
  <c r="J42" i="32"/>
  <c r="I42" i="32"/>
  <c r="F42" i="32"/>
  <c r="E42" i="32"/>
  <c r="U42" i="32" s="1"/>
  <c r="T41" i="32"/>
  <c r="S41" i="32"/>
  <c r="J41" i="32"/>
  <c r="I41" i="32"/>
  <c r="F41" i="32"/>
  <c r="E41" i="32"/>
  <c r="U41" i="32" s="1"/>
  <c r="T40" i="32"/>
  <c r="S40" i="32"/>
  <c r="J40" i="32"/>
  <c r="I40" i="32"/>
  <c r="F40" i="32"/>
  <c r="E40" i="32"/>
  <c r="U40" i="32" s="1"/>
  <c r="T39" i="32"/>
  <c r="S39" i="32"/>
  <c r="J39" i="32"/>
  <c r="I39" i="32"/>
  <c r="F39" i="32"/>
  <c r="E39" i="32"/>
  <c r="U39" i="32" s="1"/>
  <c r="T38" i="32"/>
  <c r="S38" i="32"/>
  <c r="J38" i="32"/>
  <c r="I38" i="32"/>
  <c r="F38" i="32"/>
  <c r="E38" i="32"/>
  <c r="U38" i="32" s="1"/>
  <c r="T37" i="32"/>
  <c r="S37" i="32"/>
  <c r="J37" i="32"/>
  <c r="I37" i="32"/>
  <c r="F37" i="32"/>
  <c r="E37" i="32"/>
  <c r="U37" i="32" s="1"/>
  <c r="T36" i="32"/>
  <c r="S36" i="32"/>
  <c r="J36" i="32"/>
  <c r="I36" i="32"/>
  <c r="F36" i="32"/>
  <c r="E36" i="32"/>
  <c r="U36" i="32" s="1"/>
  <c r="T35" i="32"/>
  <c r="S35" i="32"/>
  <c r="J35" i="32"/>
  <c r="I35" i="32"/>
  <c r="F35" i="32"/>
  <c r="E35" i="32"/>
  <c r="U35" i="32" s="1"/>
  <c r="T34" i="32"/>
  <c r="S34" i="32"/>
  <c r="J34" i="32"/>
  <c r="I34" i="32"/>
  <c r="F34" i="32"/>
  <c r="E34" i="32"/>
  <c r="U34" i="32" s="1"/>
  <c r="T33" i="32"/>
  <c r="S33" i="32"/>
  <c r="J33" i="32"/>
  <c r="I33" i="32"/>
  <c r="F33" i="32"/>
  <c r="E33" i="32"/>
  <c r="U33" i="32" s="1"/>
  <c r="T32" i="32"/>
  <c r="S32" i="32"/>
  <c r="J32" i="32"/>
  <c r="I32" i="32"/>
  <c r="F32" i="32"/>
  <c r="E32" i="32"/>
  <c r="U32" i="32" s="1"/>
  <c r="T31" i="32"/>
  <c r="S31" i="32"/>
  <c r="J31" i="32"/>
  <c r="I31" i="32"/>
  <c r="F31" i="32"/>
  <c r="E31" i="32"/>
  <c r="U31" i="32" s="1"/>
  <c r="T30" i="32"/>
  <c r="S30" i="32"/>
  <c r="J30" i="32"/>
  <c r="I30" i="32"/>
  <c r="F30" i="32"/>
  <c r="E30" i="32"/>
  <c r="U30" i="32" s="1"/>
  <c r="T29" i="32"/>
  <c r="S29" i="32"/>
  <c r="J29" i="32"/>
  <c r="I29" i="32"/>
  <c r="F29" i="32"/>
  <c r="E29" i="32"/>
  <c r="U29" i="32" s="1"/>
  <c r="T28" i="32"/>
  <c r="J28" i="32"/>
  <c r="I28" i="32"/>
  <c r="F28" i="32"/>
  <c r="E28" i="32"/>
  <c r="U28" i="32" s="1"/>
  <c r="T27" i="32"/>
  <c r="S27" i="32"/>
  <c r="J27" i="32"/>
  <c r="I27" i="32"/>
  <c r="F27" i="32"/>
  <c r="U27" i="32" s="1"/>
  <c r="E27" i="32"/>
  <c r="T26" i="32"/>
  <c r="S26" i="32"/>
  <c r="J26" i="32"/>
  <c r="I26" i="32"/>
  <c r="F26" i="32"/>
  <c r="U26" i="32" s="1"/>
  <c r="E26" i="32"/>
  <c r="T25" i="32"/>
  <c r="S25" i="32"/>
  <c r="J25" i="32"/>
  <c r="I25" i="32"/>
  <c r="F25" i="32"/>
  <c r="E25" i="32"/>
  <c r="U25" i="32" s="1"/>
  <c r="T24" i="32"/>
  <c r="S24" i="32"/>
  <c r="J24" i="32"/>
  <c r="I24" i="32"/>
  <c r="F24" i="32"/>
  <c r="E24" i="32"/>
  <c r="U24" i="32" s="1"/>
  <c r="A24" i="32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T23" i="32"/>
  <c r="S23" i="32"/>
  <c r="J23" i="32"/>
  <c r="I23" i="32"/>
  <c r="F23" i="32"/>
  <c r="U23" i="32" s="1"/>
  <c r="E23" i="32"/>
  <c r="T22" i="32"/>
  <c r="S22" i="32"/>
  <c r="J22" i="32"/>
  <c r="I22" i="32"/>
  <c r="F22" i="32"/>
  <c r="U22" i="32" s="1"/>
  <c r="E22" i="32"/>
  <c r="T21" i="32"/>
  <c r="S21" i="32"/>
  <c r="J21" i="32"/>
  <c r="I21" i="32"/>
  <c r="F21" i="32"/>
  <c r="E21" i="32"/>
  <c r="U21" i="32" s="1"/>
  <c r="T20" i="32"/>
  <c r="S20" i="32"/>
  <c r="J20" i="32"/>
  <c r="I20" i="32"/>
  <c r="F20" i="32"/>
  <c r="E20" i="32"/>
  <c r="U20" i="32" s="1"/>
  <c r="A20" i="32"/>
  <c r="A21" i="32" s="1"/>
  <c r="A22" i="32" s="1"/>
  <c r="A23" i="32" s="1"/>
  <c r="T19" i="32"/>
  <c r="S19" i="32"/>
  <c r="J19" i="32"/>
  <c r="I19" i="32"/>
  <c r="F19" i="32"/>
  <c r="U19" i="32" s="1"/>
  <c r="E19" i="32"/>
  <c r="T18" i="32"/>
  <c r="S18" i="32"/>
  <c r="J18" i="32"/>
  <c r="I18" i="32"/>
  <c r="F18" i="32"/>
  <c r="U18" i="32" s="1"/>
  <c r="E18" i="32"/>
  <c r="T17" i="32"/>
  <c r="S17" i="32"/>
  <c r="R17" i="32"/>
  <c r="R18" i="32" s="1"/>
  <c r="R19" i="32" s="1"/>
  <c r="R20" i="32" s="1"/>
  <c r="R21" i="32" s="1"/>
  <c r="R22" i="32" s="1"/>
  <c r="R23" i="32" s="1"/>
  <c r="R24" i="32" s="1"/>
  <c r="R25" i="32" s="1"/>
  <c r="R26" i="32" s="1"/>
  <c r="R27" i="32" s="1"/>
  <c r="R28" i="32" s="1"/>
  <c r="R29" i="32" s="1"/>
  <c r="Q17" i="32"/>
  <c r="Q18" i="32" s="1"/>
  <c r="Q19" i="32" s="1"/>
  <c r="Q20" i="32" s="1"/>
  <c r="Q21" i="32" s="1"/>
  <c r="Q22" i="32" s="1"/>
  <c r="Q23" i="32" s="1"/>
  <c r="Q24" i="32" s="1"/>
  <c r="Q25" i="32" s="1"/>
  <c r="Q26" i="32" s="1"/>
  <c r="Q27" i="32" s="1"/>
  <c r="Q28" i="32" s="1"/>
  <c r="Q29" i="32" s="1"/>
  <c r="J17" i="32"/>
  <c r="I17" i="32"/>
  <c r="F17" i="32"/>
  <c r="E17" i="32"/>
  <c r="U17" i="32" s="1"/>
  <c r="T16" i="32"/>
  <c r="S16" i="32"/>
  <c r="J16" i="32"/>
  <c r="I16" i="32"/>
  <c r="F16" i="32"/>
  <c r="E16" i="32"/>
  <c r="U16" i="32" s="1"/>
  <c r="U15" i="32"/>
  <c r="T15" i="32"/>
  <c r="S15" i="32"/>
  <c r="J15" i="32"/>
  <c r="I15" i="32"/>
  <c r="F15" i="32"/>
  <c r="E15" i="32"/>
  <c r="T14" i="32"/>
  <c r="S14" i="32"/>
  <c r="J14" i="32"/>
  <c r="I14" i="32"/>
  <c r="F14" i="32"/>
  <c r="E14" i="32"/>
  <c r="U14" i="32" s="1"/>
  <c r="T13" i="32"/>
  <c r="S13" i="32"/>
  <c r="J13" i="32"/>
  <c r="I13" i="32"/>
  <c r="F13" i="32"/>
  <c r="U13" i="32" s="1"/>
  <c r="E13" i="32"/>
  <c r="T12" i="32"/>
  <c r="S12" i="32"/>
  <c r="J12" i="32"/>
  <c r="I12" i="32"/>
  <c r="F12" i="32"/>
  <c r="E12" i="32"/>
  <c r="U11" i="32"/>
  <c r="T11" i="32"/>
  <c r="S11" i="32"/>
  <c r="J11" i="32"/>
  <c r="I11" i="32"/>
  <c r="F11" i="32"/>
  <c r="E11" i="32"/>
  <c r="A11" i="32"/>
  <c r="A12" i="32" s="1"/>
  <c r="A13" i="32" s="1"/>
  <c r="A14" i="32" s="1"/>
  <c r="A15" i="32" s="1"/>
  <c r="A16" i="32" s="1"/>
  <c r="A17" i="32" s="1"/>
  <c r="A18" i="32" s="1"/>
  <c r="A19" i="32" s="1"/>
  <c r="T10" i="32"/>
  <c r="S10" i="32"/>
  <c r="J10" i="32"/>
  <c r="I10" i="32"/>
  <c r="F10" i="32"/>
  <c r="E10" i="32"/>
  <c r="U10" i="32" s="1"/>
  <c r="B10" i="32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37" i="32" s="1"/>
  <c r="B38" i="32" s="1"/>
  <c r="B39" i="32" s="1"/>
  <c r="B40" i="32" s="1"/>
  <c r="B41" i="32" s="1"/>
  <c r="B42" i="32" s="1"/>
  <c r="B43" i="32" s="1"/>
  <c r="B44" i="32" s="1"/>
  <c r="B45" i="32" s="1"/>
  <c r="B46" i="32" s="1"/>
  <c r="B47" i="32" s="1"/>
  <c r="B48" i="32" s="1"/>
  <c r="B49" i="32" s="1"/>
  <c r="B50" i="32" s="1"/>
  <c r="B51" i="32" s="1"/>
  <c r="B52" i="32" s="1"/>
  <c r="B53" i="32" s="1"/>
  <c r="B54" i="32" s="1"/>
  <c r="B55" i="32" s="1"/>
  <c r="B56" i="32" s="1"/>
  <c r="B57" i="32" s="1"/>
  <c r="B58" i="32" s="1"/>
  <c r="B59" i="32" s="1"/>
  <c r="B60" i="32" s="1"/>
  <c r="A10" i="32"/>
  <c r="T9" i="32"/>
  <c r="S9" i="32"/>
  <c r="N10" i="32"/>
  <c r="M10" i="32"/>
  <c r="M11" i="32" s="1"/>
  <c r="M12" i="32" s="1"/>
  <c r="M13" i="32" s="1"/>
  <c r="J9" i="32"/>
  <c r="I9" i="32"/>
  <c r="F9" i="32"/>
  <c r="E9" i="32"/>
  <c r="U9" i="32" s="1"/>
  <c r="M89" i="9"/>
  <c r="M73" i="9"/>
  <c r="M62" i="9"/>
  <c r="M61" i="9"/>
  <c r="M60" i="9"/>
  <c r="M59" i="9"/>
  <c r="M58" i="9"/>
  <c r="M57" i="9"/>
  <c r="M14" i="9"/>
  <c r="M13" i="9"/>
  <c r="M12" i="9"/>
  <c r="M11" i="9"/>
  <c r="M10" i="9"/>
  <c r="M9" i="9"/>
  <c r="B60" i="29"/>
  <c r="M91" i="9"/>
  <c r="M35" i="9"/>
  <c r="M28" i="9"/>
  <c r="M27" i="9"/>
  <c r="B59" i="29"/>
  <c r="M64" i="9"/>
  <c r="B58" i="29"/>
  <c r="B57" i="29"/>
  <c r="B56" i="29"/>
  <c r="M18" i="29"/>
  <c r="B55" i="29"/>
  <c r="M87" i="9"/>
  <c r="B54" i="29"/>
  <c r="M47" i="9"/>
  <c r="M46" i="9"/>
  <c r="M15" i="9"/>
  <c r="B53" i="29"/>
  <c r="B52" i="29"/>
  <c r="M63" i="9"/>
  <c r="B51" i="29"/>
  <c r="B49" i="29"/>
  <c r="B50" i="29" s="1"/>
  <c r="B48" i="29"/>
  <c r="B47" i="29"/>
  <c r="B46" i="29"/>
  <c r="B45" i="29"/>
  <c r="B44" i="29"/>
  <c r="I38" i="30"/>
  <c r="I39" i="30" s="1"/>
  <c r="I40" i="30" s="1"/>
  <c r="I41" i="30" s="1"/>
  <c r="I42" i="30" s="1"/>
  <c r="I43" i="30" s="1"/>
  <c r="I44" i="30" s="1"/>
  <c r="I45" i="30" s="1"/>
  <c r="I46" i="30" s="1"/>
  <c r="I47" i="30" s="1"/>
  <c r="I48" i="30" s="1"/>
  <c r="I49" i="30" s="1"/>
  <c r="I50" i="30" s="1"/>
  <c r="I51" i="30" s="1"/>
  <c r="I52" i="30" s="1"/>
  <c r="I53" i="30" s="1"/>
  <c r="J38" i="30"/>
  <c r="J39" i="30" s="1"/>
  <c r="J40" i="30" s="1"/>
  <c r="J41" i="30" s="1"/>
  <c r="J42" i="30" s="1"/>
  <c r="J43" i="30" s="1"/>
  <c r="J44" i="30" s="1"/>
  <c r="J45" i="30" s="1"/>
  <c r="J46" i="30" s="1"/>
  <c r="J47" i="30" s="1"/>
  <c r="J48" i="30" s="1"/>
  <c r="J49" i="30" s="1"/>
  <c r="J50" i="30" s="1"/>
  <c r="J51" i="30" s="1"/>
  <c r="J52" i="30" s="1"/>
  <c r="J53" i="30" s="1"/>
  <c r="K38" i="30"/>
  <c r="K39" i="30" s="1"/>
  <c r="K40" i="30" s="1"/>
  <c r="K41" i="30" s="1"/>
  <c r="K42" i="30" s="1"/>
  <c r="K43" i="30" s="1"/>
  <c r="K44" i="30" s="1"/>
  <c r="K45" i="30" s="1"/>
  <c r="K46" i="30" s="1"/>
  <c r="K47" i="30" s="1"/>
  <c r="K48" i="30" s="1"/>
  <c r="K49" i="30" s="1"/>
  <c r="K50" i="30" s="1"/>
  <c r="K51" i="30" s="1"/>
  <c r="K52" i="30" s="1"/>
  <c r="K53" i="30" s="1"/>
  <c r="L38" i="30"/>
  <c r="M38" i="30"/>
  <c r="L39" i="30"/>
  <c r="L40" i="30" s="1"/>
  <c r="L41" i="30" s="1"/>
  <c r="L42" i="30" s="1"/>
  <c r="L43" i="30" s="1"/>
  <c r="L44" i="30" s="1"/>
  <c r="L45" i="30" s="1"/>
  <c r="L46" i="30" s="1"/>
  <c r="L47" i="30" s="1"/>
  <c r="L48" i="30" s="1"/>
  <c r="L49" i="30" s="1"/>
  <c r="L50" i="30" s="1"/>
  <c r="L51" i="30" s="1"/>
  <c r="L52" i="30" s="1"/>
  <c r="L53" i="30" s="1"/>
  <c r="M39" i="30"/>
  <c r="M40" i="30" s="1"/>
  <c r="M41" i="30" s="1"/>
  <c r="M42" i="30" s="1"/>
  <c r="M43" i="30" s="1"/>
  <c r="M44" i="30" s="1"/>
  <c r="M45" i="30" s="1"/>
  <c r="M46" i="30" s="1"/>
  <c r="M47" i="30" s="1"/>
  <c r="M48" i="30" s="1"/>
  <c r="M49" i="30" s="1"/>
  <c r="M50" i="30" s="1"/>
  <c r="M51" i="30" s="1"/>
  <c r="M52" i="30" s="1"/>
  <c r="M53" i="30" s="1"/>
  <c r="I28" i="30"/>
  <c r="I29" i="30" s="1"/>
  <c r="I30" i="30" s="1"/>
  <c r="I31" i="30" s="1"/>
  <c r="I32" i="30" s="1"/>
  <c r="I33" i="30" s="1"/>
  <c r="I34" i="30" s="1"/>
  <c r="I35" i="30" s="1"/>
  <c r="I36" i="30" s="1"/>
  <c r="I37" i="30" s="1"/>
  <c r="J28" i="30"/>
  <c r="J29" i="30" s="1"/>
  <c r="J30" i="30" s="1"/>
  <c r="J31" i="30" s="1"/>
  <c r="J32" i="30" s="1"/>
  <c r="J33" i="30" s="1"/>
  <c r="J34" i="30" s="1"/>
  <c r="J35" i="30" s="1"/>
  <c r="J36" i="30" s="1"/>
  <c r="J37" i="30" s="1"/>
  <c r="K28" i="30"/>
  <c r="L28" i="30"/>
  <c r="M28" i="30"/>
  <c r="M29" i="30" s="1"/>
  <c r="M30" i="30" s="1"/>
  <c r="M31" i="30" s="1"/>
  <c r="M32" i="30" s="1"/>
  <c r="M33" i="30" s="1"/>
  <c r="M34" i="30" s="1"/>
  <c r="M35" i="30" s="1"/>
  <c r="M36" i="30" s="1"/>
  <c r="M37" i="30" s="1"/>
  <c r="K29" i="30"/>
  <c r="K30" i="30" s="1"/>
  <c r="K31" i="30" s="1"/>
  <c r="K32" i="30" s="1"/>
  <c r="K33" i="30" s="1"/>
  <c r="K34" i="30" s="1"/>
  <c r="K35" i="30" s="1"/>
  <c r="K36" i="30" s="1"/>
  <c r="K37" i="30" s="1"/>
  <c r="L29" i="30"/>
  <c r="L30" i="30" s="1"/>
  <c r="L31" i="30" s="1"/>
  <c r="L32" i="30" s="1"/>
  <c r="L33" i="30" s="1"/>
  <c r="L34" i="30" s="1"/>
  <c r="L35" i="30" s="1"/>
  <c r="L36" i="30" s="1"/>
  <c r="L37" i="30" s="1"/>
  <c r="M83" i="9"/>
  <c r="B40" i="29"/>
  <c r="B41" i="29" s="1"/>
  <c r="B42" i="29" s="1"/>
  <c r="B43" i="29" s="1"/>
  <c r="B39" i="29"/>
  <c r="B38" i="29"/>
  <c r="B37" i="29"/>
  <c r="M65" i="9"/>
  <c r="M93" i="9"/>
  <c r="M44" i="9"/>
  <c r="M33" i="9"/>
  <c r="N53" i="9" l="1"/>
  <c r="V9" i="32"/>
  <c r="V10" i="32"/>
  <c r="N11" i="32"/>
  <c r="N12" i="32" s="1"/>
  <c r="N13" i="32" s="1"/>
  <c r="N14" i="32" s="1"/>
  <c r="N15" i="32" s="1"/>
  <c r="N16" i="32" s="1"/>
  <c r="N17" i="32" s="1"/>
  <c r="N18" i="32" s="1"/>
  <c r="M14" i="32"/>
  <c r="U12" i="32"/>
  <c r="U60" i="32"/>
  <c r="M53" i="9"/>
  <c r="B36" i="29"/>
  <c r="B35" i="29"/>
  <c r="B34" i="29"/>
  <c r="B33" i="29"/>
  <c r="B32" i="29"/>
  <c r="B31" i="29"/>
  <c r="B29" i="29"/>
  <c r="B30" i="29" s="1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N19" i="32" l="1"/>
  <c r="V12" i="32"/>
  <c r="V13" i="32"/>
  <c r="V11" i="32"/>
  <c r="M15" i="32"/>
  <c r="V14" i="32"/>
  <c r="B11" i="29"/>
  <c r="N20" i="32" l="1"/>
  <c r="N21" i="32" s="1"/>
  <c r="M16" i="32"/>
  <c r="V15" i="32"/>
  <c r="B10" i="29"/>
  <c r="M95" i="9"/>
  <c r="L93" i="9"/>
  <c r="L65" i="9"/>
  <c r="L62" i="9"/>
  <c r="L61" i="9"/>
  <c r="R8" i="9" s="1"/>
  <c r="L60" i="9"/>
  <c r="R10" i="9" s="1"/>
  <c r="L59" i="9"/>
  <c r="L58" i="9"/>
  <c r="L57" i="9"/>
  <c r="R9" i="9" s="1"/>
  <c r="L35" i="9"/>
  <c r="Q18" i="9" s="1"/>
  <c r="L16" i="9"/>
  <c r="L14" i="9"/>
  <c r="Q8" i="9" s="1"/>
  <c r="L13" i="9"/>
  <c r="Q10" i="9" s="1"/>
  <c r="L11" i="9"/>
  <c r="L10" i="9"/>
  <c r="Q9" i="9" s="1"/>
  <c r="L9" i="9"/>
  <c r="Q11" i="9" s="1"/>
  <c r="Q35" i="9"/>
  <c r="R55" i="9" s="1"/>
  <c r="R11" i="9"/>
  <c r="L73" i="9"/>
  <c r="L63" i="9"/>
  <c r="B13" i="8"/>
  <c r="L83" i="9"/>
  <c r="I63" i="9"/>
  <c r="K63" i="9"/>
  <c r="L87" i="9"/>
  <c r="L70" i="9"/>
  <c r="L12" i="9"/>
  <c r="O27" i="30"/>
  <c r="I27" i="30"/>
  <c r="J27" i="30"/>
  <c r="K27" i="30"/>
  <c r="L27" i="30"/>
  <c r="M27" i="30"/>
  <c r="G54" i="30"/>
  <c r="O55" i="30"/>
  <c r="F55" i="30"/>
  <c r="E55" i="30"/>
  <c r="D55" i="30"/>
  <c r="C55" i="30"/>
  <c r="B55" i="30"/>
  <c r="M3" i="30"/>
  <c r="U3" i="30"/>
  <c r="J3" i="30"/>
  <c r="R3" i="30"/>
  <c r="I3" i="30"/>
  <c r="Q3" i="30"/>
  <c r="U2" i="30"/>
  <c r="T2" i="30"/>
  <c r="R2" i="30"/>
  <c r="Q2" i="30"/>
  <c r="O2" i="30"/>
  <c r="W2" i="30"/>
  <c r="M2" i="30"/>
  <c r="L2" i="30"/>
  <c r="L3" i="30"/>
  <c r="K2" i="30"/>
  <c r="S2" i="30"/>
  <c r="J2" i="30"/>
  <c r="I2" i="30"/>
  <c r="T9" i="29"/>
  <c r="G2" i="30" s="1"/>
  <c r="N2" i="30" s="1"/>
  <c r="V2" i="30" s="1"/>
  <c r="L4" i="30"/>
  <c r="T3" i="30"/>
  <c r="K3" i="30"/>
  <c r="O3" i="30"/>
  <c r="W3" i="30"/>
  <c r="I4" i="30"/>
  <c r="M4" i="30"/>
  <c r="J4" i="30"/>
  <c r="R4" i="30"/>
  <c r="J5" i="30"/>
  <c r="K4" i="30"/>
  <c r="S3" i="30"/>
  <c r="M5" i="30"/>
  <c r="U4" i="30"/>
  <c r="I5" i="30"/>
  <c r="O4" i="30"/>
  <c r="W4" i="30"/>
  <c r="Q4" i="30"/>
  <c r="T4" i="30"/>
  <c r="L5" i="30"/>
  <c r="U5" i="30"/>
  <c r="M6" i="30"/>
  <c r="R5" i="30"/>
  <c r="J6" i="30"/>
  <c r="T5" i="30"/>
  <c r="L6" i="30"/>
  <c r="Q5" i="30"/>
  <c r="I6" i="30"/>
  <c r="O5" i="30"/>
  <c r="W5" i="30"/>
  <c r="S4" i="30"/>
  <c r="K5" i="30"/>
  <c r="T6" i="30"/>
  <c r="L7" i="30"/>
  <c r="M7" i="30"/>
  <c r="U6" i="30"/>
  <c r="I7" i="30"/>
  <c r="O6" i="30"/>
  <c r="W6" i="30"/>
  <c r="Q6" i="30"/>
  <c r="R6" i="30"/>
  <c r="J7" i="30"/>
  <c r="K6" i="30"/>
  <c r="S5" i="30"/>
  <c r="U7" i="30"/>
  <c r="M8" i="30"/>
  <c r="S6" i="30"/>
  <c r="K7" i="30"/>
  <c r="T7" i="30"/>
  <c r="L8" i="30"/>
  <c r="R7" i="30"/>
  <c r="J8" i="30"/>
  <c r="Q7" i="30"/>
  <c r="I8" i="30"/>
  <c r="O7" i="30"/>
  <c r="W7" i="30"/>
  <c r="K8" i="30"/>
  <c r="S7" i="30"/>
  <c r="R8" i="30"/>
  <c r="J9" i="30"/>
  <c r="T8" i="30"/>
  <c r="L9" i="30"/>
  <c r="M9" i="30"/>
  <c r="U8" i="30"/>
  <c r="I9" i="30"/>
  <c r="O8" i="30"/>
  <c r="W8" i="30"/>
  <c r="Q8" i="30"/>
  <c r="R9" i="30"/>
  <c r="J10" i="30"/>
  <c r="T9" i="30"/>
  <c r="L10" i="30"/>
  <c r="Q9" i="30"/>
  <c r="I10" i="30"/>
  <c r="O9" i="30"/>
  <c r="W9" i="30"/>
  <c r="S8" i="30"/>
  <c r="K9" i="30"/>
  <c r="U9" i="30"/>
  <c r="M10" i="30"/>
  <c r="I11" i="30"/>
  <c r="Q10" i="30"/>
  <c r="M11" i="30"/>
  <c r="U10" i="30"/>
  <c r="R10" i="30"/>
  <c r="J11" i="30"/>
  <c r="K10" i="30"/>
  <c r="S9" i="30"/>
  <c r="T10" i="30"/>
  <c r="L11" i="30"/>
  <c r="S10" i="30"/>
  <c r="K11" i="30"/>
  <c r="T11" i="30"/>
  <c r="L12" i="30"/>
  <c r="O10" i="30"/>
  <c r="W10" i="30"/>
  <c r="U11" i="30"/>
  <c r="M12" i="30"/>
  <c r="R11" i="30"/>
  <c r="J12" i="30"/>
  <c r="Q11" i="30"/>
  <c r="I12" i="30"/>
  <c r="O11" i="30"/>
  <c r="W11" i="30"/>
  <c r="M13" i="30"/>
  <c r="U12" i="30"/>
  <c r="K12" i="30"/>
  <c r="S11" i="30"/>
  <c r="T12" i="30"/>
  <c r="L13" i="30"/>
  <c r="I13" i="30"/>
  <c r="O12" i="30"/>
  <c r="W12" i="30"/>
  <c r="Q12" i="30"/>
  <c r="R12" i="30"/>
  <c r="J13" i="30"/>
  <c r="T13" i="30"/>
  <c r="L14" i="30"/>
  <c r="R13" i="30"/>
  <c r="J14" i="30"/>
  <c r="Q13" i="30"/>
  <c r="I14" i="30"/>
  <c r="S12" i="30"/>
  <c r="K13" i="30"/>
  <c r="U13" i="30"/>
  <c r="M14" i="30"/>
  <c r="I15" i="30"/>
  <c r="O14" i="30"/>
  <c r="W14" i="30"/>
  <c r="Q14" i="30"/>
  <c r="K14" i="30"/>
  <c r="S13" i="30"/>
  <c r="R14" i="30"/>
  <c r="J15" i="30"/>
  <c r="T14" i="30"/>
  <c r="L15" i="30"/>
  <c r="M15" i="30"/>
  <c r="U14" i="30"/>
  <c r="O13" i="30"/>
  <c r="W13" i="30"/>
  <c r="T15" i="30"/>
  <c r="L16" i="30"/>
  <c r="Q15" i="30"/>
  <c r="I16" i="30"/>
  <c r="O15" i="30"/>
  <c r="W15" i="30"/>
  <c r="S14" i="30"/>
  <c r="K15" i="30"/>
  <c r="U15" i="30"/>
  <c r="M16" i="30"/>
  <c r="R15" i="30"/>
  <c r="J16" i="30"/>
  <c r="L89" i="9"/>
  <c r="L91" i="9"/>
  <c r="L88" i="9"/>
  <c r="K93" i="9"/>
  <c r="K89" i="9"/>
  <c r="K83" i="9"/>
  <c r="K80" i="9"/>
  <c r="K73" i="9"/>
  <c r="K62" i="9"/>
  <c r="K61" i="9"/>
  <c r="K60" i="9"/>
  <c r="K59" i="9"/>
  <c r="K58" i="9"/>
  <c r="K57" i="9"/>
  <c r="K35" i="9"/>
  <c r="K25" i="9"/>
  <c r="K14" i="9"/>
  <c r="K13" i="9"/>
  <c r="K12" i="9"/>
  <c r="K11" i="9"/>
  <c r="K10" i="9"/>
  <c r="K9" i="9"/>
  <c r="T61" i="29"/>
  <c r="S61" i="29"/>
  <c r="J61" i="29"/>
  <c r="I61" i="29"/>
  <c r="T60" i="29"/>
  <c r="G53" i="30" s="1"/>
  <c r="S60" i="29"/>
  <c r="J60" i="29"/>
  <c r="I60" i="29"/>
  <c r="T59" i="29"/>
  <c r="G52" i="30" s="1"/>
  <c r="S59" i="29"/>
  <c r="J59" i="29"/>
  <c r="I59" i="29"/>
  <c r="F59" i="29"/>
  <c r="F60" i="29"/>
  <c r="U60" i="29" s="1"/>
  <c r="F61" i="29"/>
  <c r="U61" i="29" s="1"/>
  <c r="E59" i="29"/>
  <c r="E60" i="29"/>
  <c r="T58" i="29"/>
  <c r="G51" i="30" s="1"/>
  <c r="S58" i="29"/>
  <c r="J58" i="29"/>
  <c r="I58" i="29"/>
  <c r="F58" i="29"/>
  <c r="E58" i="29"/>
  <c r="T57" i="29"/>
  <c r="G50" i="30" s="1"/>
  <c r="S57" i="29"/>
  <c r="J57" i="29"/>
  <c r="I57" i="29"/>
  <c r="F57" i="29"/>
  <c r="E57" i="29"/>
  <c r="U57" i="29"/>
  <c r="T56" i="29"/>
  <c r="G49" i="30" s="1"/>
  <c r="S56" i="29"/>
  <c r="J56" i="29"/>
  <c r="I56" i="29"/>
  <c r="F56" i="29"/>
  <c r="E56" i="29"/>
  <c r="U56" i="29"/>
  <c r="T55" i="29"/>
  <c r="G48" i="30" s="1"/>
  <c r="S55" i="29"/>
  <c r="J55" i="29"/>
  <c r="I55" i="29"/>
  <c r="F55" i="29"/>
  <c r="E55" i="29"/>
  <c r="U55" i="29"/>
  <c r="T54" i="29"/>
  <c r="G47" i="30" s="1"/>
  <c r="S54" i="29"/>
  <c r="J54" i="29"/>
  <c r="I54" i="29"/>
  <c r="F54" i="29"/>
  <c r="E54" i="29"/>
  <c r="U54" i="29"/>
  <c r="T53" i="29"/>
  <c r="G46" i="30" s="1"/>
  <c r="S53" i="29"/>
  <c r="J53" i="29"/>
  <c r="I53" i="29"/>
  <c r="F53" i="29"/>
  <c r="E53" i="29"/>
  <c r="U53" i="29"/>
  <c r="T52" i="29"/>
  <c r="G45" i="30" s="1"/>
  <c r="S52" i="29"/>
  <c r="J52" i="29"/>
  <c r="I52" i="29"/>
  <c r="F52" i="29"/>
  <c r="E52" i="29"/>
  <c r="U52" i="29"/>
  <c r="T51" i="29"/>
  <c r="G44" i="30" s="1"/>
  <c r="S51" i="29"/>
  <c r="J51" i="29"/>
  <c r="I51" i="29"/>
  <c r="F51" i="29"/>
  <c r="E51" i="29"/>
  <c r="U51" i="29"/>
  <c r="T50" i="29"/>
  <c r="G43" i="30" s="1"/>
  <c r="S50" i="29"/>
  <c r="J50" i="29"/>
  <c r="I50" i="29"/>
  <c r="F50" i="29"/>
  <c r="E50" i="29"/>
  <c r="T49" i="29"/>
  <c r="G42" i="30" s="1"/>
  <c r="S49" i="29"/>
  <c r="J49" i="29"/>
  <c r="I49" i="29"/>
  <c r="F49" i="29"/>
  <c r="E49" i="29"/>
  <c r="U49" i="29"/>
  <c r="T48" i="29"/>
  <c r="G41" i="30" s="1"/>
  <c r="S48" i="29"/>
  <c r="J48" i="29"/>
  <c r="I48" i="29"/>
  <c r="F48" i="29"/>
  <c r="E48" i="29"/>
  <c r="U48" i="29"/>
  <c r="T47" i="29"/>
  <c r="G40" i="30" s="1"/>
  <c r="S47" i="29"/>
  <c r="J47" i="29"/>
  <c r="I47" i="29"/>
  <c r="F47" i="29"/>
  <c r="E47" i="29"/>
  <c r="U47" i="29"/>
  <c r="T46" i="29"/>
  <c r="G39" i="30" s="1"/>
  <c r="S46" i="29"/>
  <c r="J46" i="29"/>
  <c r="I46" i="29"/>
  <c r="F46" i="29"/>
  <c r="U46" i="29"/>
  <c r="E46" i="29"/>
  <c r="T45" i="29"/>
  <c r="G38" i="30" s="1"/>
  <c r="S45" i="29"/>
  <c r="J45" i="29"/>
  <c r="I45" i="29"/>
  <c r="F45" i="29"/>
  <c r="E45" i="29"/>
  <c r="U45" i="29"/>
  <c r="T44" i="29"/>
  <c r="G37" i="30" s="1"/>
  <c r="S44" i="29"/>
  <c r="J44" i="29"/>
  <c r="I44" i="29"/>
  <c r="F44" i="29"/>
  <c r="E44" i="29"/>
  <c r="U44" i="29"/>
  <c r="T43" i="29"/>
  <c r="G36" i="30" s="1"/>
  <c r="S43" i="29"/>
  <c r="J43" i="29"/>
  <c r="I43" i="29"/>
  <c r="F43" i="29"/>
  <c r="E43" i="29"/>
  <c r="U43" i="29"/>
  <c r="T42" i="29"/>
  <c r="G35" i="30" s="1"/>
  <c r="S42" i="29"/>
  <c r="J42" i="29"/>
  <c r="I42" i="29"/>
  <c r="F42" i="29"/>
  <c r="E42" i="29"/>
  <c r="T41" i="29"/>
  <c r="G34" i="30" s="1"/>
  <c r="S41" i="29"/>
  <c r="J41" i="29"/>
  <c r="I41" i="29"/>
  <c r="F41" i="29"/>
  <c r="E41" i="29"/>
  <c r="U41" i="29"/>
  <c r="T40" i="29"/>
  <c r="G33" i="30" s="1"/>
  <c r="S40" i="29"/>
  <c r="J40" i="29"/>
  <c r="I40" i="29"/>
  <c r="F40" i="29"/>
  <c r="E40" i="29"/>
  <c r="U40" i="29"/>
  <c r="T39" i="29"/>
  <c r="G32" i="30" s="1"/>
  <c r="S39" i="29"/>
  <c r="J39" i="29"/>
  <c r="I39" i="29"/>
  <c r="F39" i="29"/>
  <c r="E39" i="29"/>
  <c r="U39" i="29"/>
  <c r="T38" i="29"/>
  <c r="G31" i="30" s="1"/>
  <c r="S38" i="29"/>
  <c r="J38" i="29"/>
  <c r="I38" i="29"/>
  <c r="F38" i="29"/>
  <c r="E38" i="29"/>
  <c r="U38" i="29"/>
  <c r="T37" i="29"/>
  <c r="G30" i="30" s="1"/>
  <c r="S37" i="29"/>
  <c r="J37" i="29"/>
  <c r="I37" i="29"/>
  <c r="F37" i="29"/>
  <c r="E37" i="29"/>
  <c r="U37" i="29"/>
  <c r="T36" i="29"/>
  <c r="G29" i="30" s="1"/>
  <c r="S36" i="29"/>
  <c r="J36" i="29"/>
  <c r="I36" i="29"/>
  <c r="F36" i="29"/>
  <c r="E36" i="29"/>
  <c r="T35" i="29"/>
  <c r="G28" i="30" s="1"/>
  <c r="S35" i="29"/>
  <c r="J35" i="29"/>
  <c r="I35" i="29"/>
  <c r="F35" i="29"/>
  <c r="E35" i="29"/>
  <c r="T34" i="29"/>
  <c r="S34" i="29"/>
  <c r="J34" i="29"/>
  <c r="I34" i="29"/>
  <c r="F34" i="29"/>
  <c r="E34" i="29"/>
  <c r="U34" i="29"/>
  <c r="T33" i="29"/>
  <c r="S33" i="29"/>
  <c r="J33" i="29"/>
  <c r="I33" i="29"/>
  <c r="F33" i="29"/>
  <c r="E33" i="29"/>
  <c r="U33" i="29"/>
  <c r="T32" i="29"/>
  <c r="S32" i="29"/>
  <c r="J32" i="29"/>
  <c r="I32" i="29"/>
  <c r="F32" i="29"/>
  <c r="E32" i="29"/>
  <c r="T31" i="29"/>
  <c r="S31" i="29"/>
  <c r="J31" i="29"/>
  <c r="I31" i="29"/>
  <c r="F31" i="29"/>
  <c r="U31" i="29"/>
  <c r="E31" i="29"/>
  <c r="T30" i="29"/>
  <c r="S30" i="29"/>
  <c r="J30" i="29"/>
  <c r="I30" i="29"/>
  <c r="F30" i="29"/>
  <c r="E30" i="29"/>
  <c r="U30" i="29"/>
  <c r="T29" i="29"/>
  <c r="S29" i="29"/>
  <c r="J29" i="29"/>
  <c r="I29" i="29"/>
  <c r="F29" i="29"/>
  <c r="E29" i="29"/>
  <c r="U29" i="29"/>
  <c r="T28" i="29"/>
  <c r="J28" i="29"/>
  <c r="I28" i="29"/>
  <c r="F28" i="29"/>
  <c r="E28" i="29"/>
  <c r="U28" i="29"/>
  <c r="T27" i="29"/>
  <c r="S27" i="29"/>
  <c r="J27" i="29"/>
  <c r="I27" i="29"/>
  <c r="F27" i="29"/>
  <c r="E27" i="29"/>
  <c r="U27" i="29" s="1"/>
  <c r="U26" i="29"/>
  <c r="T26" i="29"/>
  <c r="G19" i="30" s="1"/>
  <c r="S26" i="29"/>
  <c r="J26" i="29"/>
  <c r="I26" i="29"/>
  <c r="F26" i="29"/>
  <c r="E26" i="29"/>
  <c r="T25" i="29"/>
  <c r="G18" i="30" s="1"/>
  <c r="S25" i="29"/>
  <c r="J25" i="29"/>
  <c r="I25" i="29"/>
  <c r="F25" i="29"/>
  <c r="E25" i="29"/>
  <c r="U25" i="29"/>
  <c r="T24" i="29"/>
  <c r="G17" i="30" s="1"/>
  <c r="S24" i="29"/>
  <c r="J24" i="29"/>
  <c r="I24" i="29"/>
  <c r="F24" i="29"/>
  <c r="E24" i="29"/>
  <c r="U24" i="29"/>
  <c r="T23" i="29"/>
  <c r="G16" i="30" s="1"/>
  <c r="S23" i="29"/>
  <c r="J23" i="29"/>
  <c r="I23" i="29"/>
  <c r="F23" i="29"/>
  <c r="E23" i="29"/>
  <c r="U23" i="29"/>
  <c r="U22" i="29"/>
  <c r="T22" i="29"/>
  <c r="G15" i="30" s="1"/>
  <c r="S22" i="29"/>
  <c r="J22" i="29"/>
  <c r="I22" i="29"/>
  <c r="F22" i="29"/>
  <c r="E22" i="29"/>
  <c r="T21" i="29"/>
  <c r="G14" i="30" s="1"/>
  <c r="S21" i="29"/>
  <c r="R24" i="29"/>
  <c r="R25" i="29"/>
  <c r="R26" i="29"/>
  <c r="R27" i="29"/>
  <c r="R28" i="29"/>
  <c r="R29" i="29"/>
  <c r="J21" i="29"/>
  <c r="I21" i="29"/>
  <c r="F21" i="29"/>
  <c r="U21" i="29"/>
  <c r="E21" i="29"/>
  <c r="T20" i="29"/>
  <c r="G13" i="30" s="1"/>
  <c r="S20" i="29"/>
  <c r="J20" i="29"/>
  <c r="I20" i="29"/>
  <c r="F20" i="29"/>
  <c r="E20" i="29"/>
  <c r="U20" i="29"/>
  <c r="T19" i="29"/>
  <c r="G12" i="30" s="1"/>
  <c r="S19" i="29"/>
  <c r="J19" i="29"/>
  <c r="I19" i="29"/>
  <c r="F19" i="29"/>
  <c r="E19" i="29"/>
  <c r="U19" i="29" s="1"/>
  <c r="T18" i="29"/>
  <c r="G11" i="30" s="1"/>
  <c r="S18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J18" i="29"/>
  <c r="I18" i="29"/>
  <c r="F18" i="29"/>
  <c r="E18" i="29"/>
  <c r="U18" i="29"/>
  <c r="T17" i="29"/>
  <c r="G10" i="30" s="1"/>
  <c r="S17" i="29"/>
  <c r="R17" i="29"/>
  <c r="R18" i="29"/>
  <c r="R19" i="29"/>
  <c r="R20" i="29"/>
  <c r="R21" i="29"/>
  <c r="R22" i="29"/>
  <c r="R23" i="29"/>
  <c r="Q17" i="29"/>
  <c r="J17" i="29"/>
  <c r="I17" i="29"/>
  <c r="F17" i="29"/>
  <c r="E17" i="29"/>
  <c r="U17" i="29" s="1"/>
  <c r="T16" i="29"/>
  <c r="G9" i="30" s="1"/>
  <c r="S16" i="29"/>
  <c r="J16" i="29"/>
  <c r="I16" i="29"/>
  <c r="F16" i="29"/>
  <c r="E16" i="29"/>
  <c r="U16" i="29"/>
  <c r="T15" i="29"/>
  <c r="G8" i="30" s="1"/>
  <c r="S15" i="29"/>
  <c r="J15" i="29"/>
  <c r="I15" i="29"/>
  <c r="F15" i="29"/>
  <c r="E15" i="29"/>
  <c r="U15" i="29" s="1"/>
  <c r="T14" i="29"/>
  <c r="G7" i="30" s="1"/>
  <c r="S14" i="29"/>
  <c r="J14" i="29"/>
  <c r="I14" i="29"/>
  <c r="F14" i="29"/>
  <c r="E14" i="29"/>
  <c r="U14" i="29"/>
  <c r="T13" i="29"/>
  <c r="G6" i="30" s="1"/>
  <c r="S13" i="29"/>
  <c r="J13" i="29"/>
  <c r="I13" i="29"/>
  <c r="F13" i="29"/>
  <c r="E13" i="29"/>
  <c r="U13" i="29"/>
  <c r="T12" i="29"/>
  <c r="G5" i="30" s="1"/>
  <c r="S12" i="29"/>
  <c r="J12" i="29"/>
  <c r="I12" i="29"/>
  <c r="F12" i="29"/>
  <c r="E12" i="29"/>
  <c r="U12" i="29"/>
  <c r="T11" i="29"/>
  <c r="G4" i="30" s="1"/>
  <c r="S11" i="29"/>
  <c r="J11" i="29"/>
  <c r="I11" i="29"/>
  <c r="F11" i="29"/>
  <c r="E11" i="29"/>
  <c r="U11" i="29"/>
  <c r="T10" i="29"/>
  <c r="G3" i="30" s="1"/>
  <c r="S10" i="29"/>
  <c r="J10" i="29"/>
  <c r="I10" i="29"/>
  <c r="F10" i="29"/>
  <c r="E10" i="29"/>
  <c r="U10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S9" i="29"/>
  <c r="N9" i="29"/>
  <c r="N10" i="29" s="1"/>
  <c r="N11" i="29" s="1"/>
  <c r="N12" i="29" s="1"/>
  <c r="N13" i="29" s="1"/>
  <c r="N14" i="29" s="1"/>
  <c r="N15" i="29" s="1"/>
  <c r="N16" i="29" s="1"/>
  <c r="N17" i="29" s="1"/>
  <c r="N18" i="29" s="1"/>
  <c r="N19" i="29" s="1"/>
  <c r="N20" i="29" s="1"/>
  <c r="N21" i="29" s="1"/>
  <c r="N22" i="29" s="1"/>
  <c r="N23" i="29" s="1"/>
  <c r="N24" i="29" s="1"/>
  <c r="N25" i="29" s="1"/>
  <c r="N26" i="29" s="1"/>
  <c r="N27" i="29" s="1"/>
  <c r="N28" i="29" s="1"/>
  <c r="N29" i="29" s="1"/>
  <c r="N30" i="29" s="1"/>
  <c r="N31" i="29" s="1"/>
  <c r="N32" i="29" s="1"/>
  <c r="N33" i="29" s="1"/>
  <c r="N34" i="29" s="1"/>
  <c r="N35" i="29" s="1"/>
  <c r="N36" i="29" s="1"/>
  <c r="N37" i="29" s="1"/>
  <c r="N38" i="29" s="1"/>
  <c r="N39" i="29" s="1"/>
  <c r="N40" i="29" s="1"/>
  <c r="N41" i="29" s="1"/>
  <c r="N42" i="29" s="1"/>
  <c r="N43" i="29" s="1"/>
  <c r="N44" i="29" s="1"/>
  <c r="N45" i="29" s="1"/>
  <c r="N46" i="29" s="1"/>
  <c r="N47" i="29" s="1"/>
  <c r="N48" i="29" s="1"/>
  <c r="N49" i="29" s="1"/>
  <c r="N50" i="29" s="1"/>
  <c r="N51" i="29" s="1"/>
  <c r="N52" i="29" s="1"/>
  <c r="N53" i="29" s="1"/>
  <c r="M9" i="29"/>
  <c r="M10" i="29" s="1"/>
  <c r="M11" i="29" s="1"/>
  <c r="J9" i="29"/>
  <c r="I9" i="29"/>
  <c r="F9" i="29"/>
  <c r="E9" i="29"/>
  <c r="U9" i="29"/>
  <c r="J9" i="9"/>
  <c r="J10" i="9"/>
  <c r="J11" i="9"/>
  <c r="J12" i="9"/>
  <c r="J13" i="9"/>
  <c r="J14" i="9"/>
  <c r="J25" i="9"/>
  <c r="J36" i="9"/>
  <c r="J43" i="9"/>
  <c r="J50" i="9"/>
  <c r="J89" i="9"/>
  <c r="J61" i="9"/>
  <c r="J60" i="9"/>
  <c r="J59" i="9"/>
  <c r="J58" i="9"/>
  <c r="J57" i="9"/>
  <c r="J73" i="9"/>
  <c r="J74" i="9"/>
  <c r="J65" i="9"/>
  <c r="I93" i="9"/>
  <c r="I91" i="9"/>
  <c r="I74" i="9"/>
  <c r="I73" i="9"/>
  <c r="I70" i="9"/>
  <c r="I62" i="9"/>
  <c r="I61" i="9"/>
  <c r="I60" i="9"/>
  <c r="I59" i="9"/>
  <c r="I58" i="9"/>
  <c r="I57" i="9"/>
  <c r="I41" i="9"/>
  <c r="I35" i="9"/>
  <c r="I25" i="9"/>
  <c r="I14" i="9"/>
  <c r="I13" i="9"/>
  <c r="I11" i="9"/>
  <c r="I10" i="9"/>
  <c r="I9" i="9"/>
  <c r="H93" i="9"/>
  <c r="H61" i="9"/>
  <c r="H60" i="9"/>
  <c r="H59" i="9"/>
  <c r="H58" i="9"/>
  <c r="H14" i="9"/>
  <c r="H13" i="9"/>
  <c r="H11" i="9"/>
  <c r="H10" i="9"/>
  <c r="H9" i="9"/>
  <c r="H82" i="9"/>
  <c r="H73" i="9"/>
  <c r="H72" i="9"/>
  <c r="H65" i="9"/>
  <c r="H12" i="9"/>
  <c r="H57" i="9"/>
  <c r="H41" i="9"/>
  <c r="H36" i="9"/>
  <c r="H51" i="9"/>
  <c r="H89" i="9"/>
  <c r="H62" i="9"/>
  <c r="H70" i="9"/>
  <c r="H63" i="9"/>
  <c r="H27" i="9"/>
  <c r="H50" i="9"/>
  <c r="B9" i="8"/>
  <c r="B10" i="8"/>
  <c r="B11" i="8"/>
  <c r="B12" i="8"/>
  <c r="B18" i="8"/>
  <c r="B19" i="8"/>
  <c r="B23" i="8"/>
  <c r="B20" i="8"/>
  <c r="B21" i="8"/>
  <c r="B22" i="8"/>
  <c r="G89" i="9"/>
  <c r="G86" i="9"/>
  <c r="G72" i="9"/>
  <c r="G61" i="9"/>
  <c r="G60" i="9"/>
  <c r="G59" i="9"/>
  <c r="G58" i="9"/>
  <c r="G57" i="9"/>
  <c r="G52" i="9"/>
  <c r="G43" i="9"/>
  <c r="G31" i="9"/>
  <c r="G14" i="9"/>
  <c r="G13" i="9"/>
  <c r="G12" i="9"/>
  <c r="G11" i="9"/>
  <c r="G10" i="9"/>
  <c r="G9" i="9"/>
  <c r="F62" i="24"/>
  <c r="E62" i="24"/>
  <c r="D62" i="24"/>
  <c r="C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62" i="24"/>
  <c r="E62" i="23"/>
  <c r="D62" i="23"/>
  <c r="C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63" i="28"/>
  <c r="E63" i="28"/>
  <c r="D63" i="28"/>
  <c r="C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H14" i="28"/>
  <c r="H15" i="28"/>
  <c r="H16" i="28"/>
  <c r="H17" i="28"/>
  <c r="G13" i="28"/>
  <c r="G12" i="28"/>
  <c r="G11" i="28"/>
  <c r="H11" i="28"/>
  <c r="H12" i="28"/>
  <c r="H13" i="28"/>
  <c r="I63" i="27"/>
  <c r="H63" i="27"/>
  <c r="G63" i="27"/>
  <c r="F63" i="27"/>
  <c r="E63" i="27"/>
  <c r="D63" i="27"/>
  <c r="C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F63" i="26"/>
  <c r="E63" i="26"/>
  <c r="D63" i="26"/>
  <c r="C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H11" i="26"/>
  <c r="H12" i="26"/>
  <c r="H13" i="26"/>
  <c r="F61" i="9"/>
  <c r="F60" i="9"/>
  <c r="F59" i="9"/>
  <c r="F58" i="9"/>
  <c r="F57" i="9"/>
  <c r="F14" i="9"/>
  <c r="F13" i="9"/>
  <c r="F12" i="9"/>
  <c r="F11" i="9"/>
  <c r="F10" i="9"/>
  <c r="F9" i="9"/>
  <c r="F89" i="9"/>
  <c r="F94" i="9"/>
  <c r="F71" i="9"/>
  <c r="F72" i="9"/>
  <c r="D89" i="9"/>
  <c r="D78" i="9"/>
  <c r="D77" i="9"/>
  <c r="D72" i="9"/>
  <c r="D68" i="9"/>
  <c r="D63" i="9"/>
  <c r="D62" i="9"/>
  <c r="D61" i="9"/>
  <c r="D60" i="9"/>
  <c r="D59" i="9"/>
  <c r="D58" i="9"/>
  <c r="D57" i="9"/>
  <c r="E28" i="9"/>
  <c r="E14" i="9"/>
  <c r="E13" i="9"/>
  <c r="E12" i="9"/>
  <c r="E11" i="9"/>
  <c r="E10" i="9"/>
  <c r="E9" i="9"/>
  <c r="D15" i="9"/>
  <c r="D14" i="9"/>
  <c r="D13" i="9"/>
  <c r="D12" i="9"/>
  <c r="D11" i="9"/>
  <c r="D10" i="9"/>
  <c r="D9" i="9"/>
  <c r="B95" i="9"/>
  <c r="B53" i="9"/>
  <c r="C62" i="9"/>
  <c r="C59" i="9"/>
  <c r="C60" i="9"/>
  <c r="C58" i="9"/>
  <c r="C77" i="9"/>
  <c r="C57" i="9"/>
  <c r="C72" i="9"/>
  <c r="C63" i="9"/>
  <c r="C61" i="9"/>
  <c r="C12" i="9"/>
  <c r="C9" i="9"/>
  <c r="C13" i="9"/>
  <c r="C11" i="9"/>
  <c r="C35" i="9"/>
  <c r="C32" i="9"/>
  <c r="C15" i="9"/>
  <c r="C10" i="9"/>
  <c r="C28" i="9"/>
  <c r="C20" i="9"/>
  <c r="C14" i="9"/>
  <c r="S64" i="9"/>
  <c r="R64" i="9"/>
  <c r="Q64" i="9"/>
  <c r="E95" i="9"/>
  <c r="G10" i="23"/>
  <c r="K11" i="27"/>
  <c r="K12" i="27"/>
  <c r="G63" i="28"/>
  <c r="E61" i="29"/>
  <c r="U32" i="29"/>
  <c r="U36" i="29"/>
  <c r="U59" i="29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G11" i="23"/>
  <c r="G12" i="23"/>
  <c r="G13" i="23"/>
  <c r="G14" i="23"/>
  <c r="F62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G63" i="26"/>
  <c r="J63" i="27"/>
  <c r="U35" i="29"/>
  <c r="U42" i="29"/>
  <c r="U50" i="29"/>
  <c r="U58" i="29"/>
  <c r="I17" i="30"/>
  <c r="O16" i="30"/>
  <c r="W16" i="30"/>
  <c r="Q16" i="30"/>
  <c r="M17" i="30"/>
  <c r="U16" i="30"/>
  <c r="K16" i="30"/>
  <c r="S15" i="30"/>
  <c r="T16" i="30"/>
  <c r="L17" i="30"/>
  <c r="R16" i="30"/>
  <c r="J17" i="30"/>
  <c r="Q17" i="30"/>
  <c r="I18" i="30"/>
  <c r="O17" i="30"/>
  <c r="W17" i="30"/>
  <c r="U17" i="30"/>
  <c r="M18" i="30"/>
  <c r="S16" i="30"/>
  <c r="K17" i="30"/>
  <c r="T17" i="30"/>
  <c r="L18" i="30"/>
  <c r="R17" i="30"/>
  <c r="J18" i="30"/>
  <c r="R18" i="30"/>
  <c r="J19" i="30"/>
  <c r="K18" i="30"/>
  <c r="S17" i="30"/>
  <c r="I19" i="30"/>
  <c r="O18" i="30"/>
  <c r="W18" i="30"/>
  <c r="Q18" i="30"/>
  <c r="T18" i="30"/>
  <c r="L19" i="30"/>
  <c r="M19" i="30"/>
  <c r="U18" i="30"/>
  <c r="U19" i="30"/>
  <c r="M20" i="30"/>
  <c r="R19" i="30"/>
  <c r="J20" i="30"/>
  <c r="T19" i="30"/>
  <c r="L20" i="30"/>
  <c r="Q19" i="30"/>
  <c r="I20" i="30"/>
  <c r="O19" i="30"/>
  <c r="W19" i="30"/>
  <c r="S18" i="30"/>
  <c r="K19" i="30"/>
  <c r="R20" i="30"/>
  <c r="J21" i="30"/>
  <c r="M21" i="30"/>
  <c r="U20" i="30"/>
  <c r="I21" i="30"/>
  <c r="Q20" i="30"/>
  <c r="T20" i="30"/>
  <c r="L21" i="30"/>
  <c r="K20" i="30"/>
  <c r="S19" i="30"/>
  <c r="S20" i="30"/>
  <c r="K21" i="30"/>
  <c r="O20" i="30"/>
  <c r="W20" i="30"/>
  <c r="T21" i="30"/>
  <c r="L22" i="30"/>
  <c r="Q21" i="30"/>
  <c r="I22" i="30"/>
  <c r="O21" i="30"/>
  <c r="W21" i="30"/>
  <c r="U21" i="30"/>
  <c r="M22" i="30"/>
  <c r="R21" i="30"/>
  <c r="J22" i="30"/>
  <c r="I23" i="30"/>
  <c r="O22" i="30"/>
  <c r="W22" i="30"/>
  <c r="Q22" i="30"/>
  <c r="R22" i="30"/>
  <c r="J23" i="30"/>
  <c r="M23" i="30"/>
  <c r="U22" i="30"/>
  <c r="K22" i="30"/>
  <c r="S21" i="30"/>
  <c r="T22" i="30"/>
  <c r="L23" i="30"/>
  <c r="U23" i="30"/>
  <c r="M24" i="30"/>
  <c r="M25" i="30"/>
  <c r="M26" i="30"/>
  <c r="T23" i="30"/>
  <c r="L24" i="30"/>
  <c r="L25" i="30"/>
  <c r="L26" i="30"/>
  <c r="Q23" i="30"/>
  <c r="I24" i="30"/>
  <c r="R23" i="30"/>
  <c r="J24" i="30"/>
  <c r="J25" i="30"/>
  <c r="J26" i="30"/>
  <c r="S22" i="30"/>
  <c r="K23" i="30"/>
  <c r="K24" i="30"/>
  <c r="K25" i="30"/>
  <c r="K26" i="30"/>
  <c r="S23" i="30"/>
  <c r="O23" i="30"/>
  <c r="W23" i="30"/>
  <c r="O24" i="30"/>
  <c r="I25" i="30"/>
  <c r="I26" i="30"/>
  <c r="O26" i="30"/>
  <c r="O25" i="30"/>
  <c r="N22" i="32" l="1"/>
  <c r="N23" i="32" s="1"/>
  <c r="N24" i="32" s="1"/>
  <c r="M17" i="32"/>
  <c r="V16" i="32"/>
  <c r="K53" i="9"/>
  <c r="C95" i="9"/>
  <c r="D53" i="9"/>
  <c r="I95" i="9"/>
  <c r="J95" i="9"/>
  <c r="I53" i="9"/>
  <c r="G95" i="9"/>
  <c r="J53" i="9"/>
  <c r="G53" i="9"/>
  <c r="H53" i="9"/>
  <c r="S33" i="9" s="1"/>
  <c r="S34" i="9" s="1"/>
  <c r="B96" i="9"/>
  <c r="D95" i="9"/>
  <c r="F53" i="9"/>
  <c r="F95" i="9"/>
  <c r="S53" i="9" s="1"/>
  <c r="S54" i="9" s="1"/>
  <c r="H95" i="9"/>
  <c r="R53" i="9" s="1"/>
  <c r="R54" i="9" s="1"/>
  <c r="R56" i="9" s="1"/>
  <c r="K95" i="9"/>
  <c r="C53" i="9"/>
  <c r="E53" i="9"/>
  <c r="E96" i="9" s="1"/>
  <c r="R33" i="9"/>
  <c r="R34" i="9" s="1"/>
  <c r="Q33" i="9"/>
  <c r="Q34" i="9" s="1"/>
  <c r="Q36" i="9" s="1"/>
  <c r="Q53" i="9"/>
  <c r="Q54" i="9" s="1"/>
  <c r="V9" i="29"/>
  <c r="N3" i="30"/>
  <c r="N4" i="30" s="1"/>
  <c r="V10" i="29"/>
  <c r="V11" i="29"/>
  <c r="M12" i="29"/>
  <c r="B4" i="25"/>
  <c r="B5" i="25" s="1"/>
  <c r="B4" i="26"/>
  <c r="B5" i="26" s="1"/>
  <c r="B3" i="24"/>
  <c r="B4" i="24" s="1"/>
  <c r="B3" i="23"/>
  <c r="B4" i="23" s="1"/>
  <c r="B4" i="28"/>
  <c r="B5" i="28" s="1"/>
  <c r="B4" i="27"/>
  <c r="B5" i="27" s="1"/>
  <c r="S9" i="9"/>
  <c r="E17" i="8"/>
  <c r="E16" i="8"/>
  <c r="E9" i="8"/>
  <c r="Q17" i="9"/>
  <c r="Q19" i="9" s="1"/>
  <c r="S67" i="9"/>
  <c r="R18" i="9"/>
  <c r="S18" i="9" s="1"/>
  <c r="S35" i="9"/>
  <c r="R67" i="9"/>
  <c r="S55" i="9"/>
  <c r="Q26" i="9"/>
  <c r="Q27" i="9" s="1"/>
  <c r="Q55" i="9"/>
  <c r="B25" i="8"/>
  <c r="E8" i="8"/>
  <c r="S8" i="9"/>
  <c r="R12" i="9"/>
  <c r="S11" i="9"/>
  <c r="R17" i="9"/>
  <c r="L95" i="9"/>
  <c r="L53" i="9"/>
  <c r="S10" i="9"/>
  <c r="Q12" i="9"/>
  <c r="Q67" i="9"/>
  <c r="R35" i="9"/>
  <c r="R26" i="9"/>
  <c r="R27" i="9" s="1"/>
  <c r="N54" i="29"/>
  <c r="N55" i="29" s="1"/>
  <c r="N56" i="29" s="1"/>
  <c r="N57" i="29" s="1"/>
  <c r="D96" i="9" l="1"/>
  <c r="K96" i="9"/>
  <c r="N25" i="32"/>
  <c r="N26" i="32" s="1"/>
  <c r="Q65" i="9"/>
  <c r="Q66" i="9" s="1"/>
  <c r="Q68" i="9" s="1"/>
  <c r="I96" i="9"/>
  <c r="S36" i="9"/>
  <c r="C96" i="9"/>
  <c r="J96" i="9"/>
  <c r="V17" i="32"/>
  <c r="M18" i="32"/>
  <c r="G96" i="9"/>
  <c r="F96" i="9"/>
  <c r="S56" i="9"/>
  <c r="H96" i="9"/>
  <c r="S26" i="9" s="1"/>
  <c r="R36" i="9"/>
  <c r="E10" i="8"/>
  <c r="Q56" i="9"/>
  <c r="V3" i="30"/>
  <c r="V12" i="29"/>
  <c r="M13" i="29"/>
  <c r="N5" i="30"/>
  <c r="V4" i="30"/>
  <c r="E18" i="8"/>
  <c r="N58" i="29"/>
  <c r="R19" i="9"/>
  <c r="S19" i="9" s="1"/>
  <c r="S27" i="9"/>
  <c r="S17" i="9"/>
  <c r="S12" i="9"/>
  <c r="R65" i="9" l="1"/>
  <c r="N27" i="32"/>
  <c r="N28" i="32" s="1"/>
  <c r="N29" i="32" s="1"/>
  <c r="N30" i="32" s="1"/>
  <c r="V18" i="32"/>
  <c r="M19" i="32"/>
  <c r="R66" i="9"/>
  <c r="R68" i="9" s="1"/>
  <c r="S65" i="9"/>
  <c r="S66" i="9" s="1"/>
  <c r="S68" i="9" s="1"/>
  <c r="N6" i="30"/>
  <c r="V5" i="30"/>
  <c r="M14" i="29"/>
  <c r="V13" i="29"/>
  <c r="N59" i="29"/>
  <c r="N31" i="32" l="1"/>
  <c r="N32" i="32" s="1"/>
  <c r="N33" i="32" s="1"/>
  <c r="N34" i="32" s="1"/>
  <c r="N35" i="32" s="1"/>
  <c r="M20" i="32"/>
  <c r="V19" i="32"/>
  <c r="N60" i="29"/>
  <c r="N61" i="29" s="1"/>
  <c r="V14" i="29"/>
  <c r="M15" i="29"/>
  <c r="V6" i="30"/>
  <c r="N7" i="30"/>
  <c r="N36" i="32" l="1"/>
  <c r="N37" i="32" s="1"/>
  <c r="N38" i="32" s="1"/>
  <c r="N39" i="32" s="1"/>
  <c r="N40" i="32" s="1"/>
  <c r="N41" i="32" s="1"/>
  <c r="N42" i="32" s="1"/>
  <c r="N43" i="32" s="1"/>
  <c r="N44" i="32" s="1"/>
  <c r="M21" i="32"/>
  <c r="V20" i="32"/>
  <c r="M16" i="29"/>
  <c r="V15" i="29"/>
  <c r="N8" i="30"/>
  <c r="V7" i="30"/>
  <c r="N45" i="32" l="1"/>
  <c r="M22" i="32"/>
  <c r="V21" i="32"/>
  <c r="V8" i="30"/>
  <c r="N9" i="30"/>
  <c r="V16" i="29"/>
  <c r="M17" i="29"/>
  <c r="N46" i="32" l="1"/>
  <c r="V22" i="32"/>
  <c r="M23" i="32"/>
  <c r="V17" i="29"/>
  <c r="N10" i="30"/>
  <c r="V9" i="30"/>
  <c r="N47" i="32" l="1"/>
  <c r="M24" i="32"/>
  <c r="V23" i="32"/>
  <c r="N11" i="30"/>
  <c r="V10" i="30"/>
  <c r="M19" i="29"/>
  <c r="V18" i="29"/>
  <c r="N48" i="32" l="1"/>
  <c r="N49" i="32" s="1"/>
  <c r="N50" i="32" s="1"/>
  <c r="M25" i="32"/>
  <c r="V24" i="32"/>
  <c r="V19" i="29"/>
  <c r="M20" i="29"/>
  <c r="V11" i="30"/>
  <c r="N12" i="30"/>
  <c r="N51" i="32" l="1"/>
  <c r="N52" i="32" s="1"/>
  <c r="N53" i="32" s="1"/>
  <c r="V25" i="32"/>
  <c r="M26" i="32"/>
  <c r="V20" i="29"/>
  <c r="M21" i="29"/>
  <c r="V12" i="30"/>
  <c r="N13" i="30"/>
  <c r="N54" i="32" l="1"/>
  <c r="N55" i="32" s="1"/>
  <c r="N56" i="32" s="1"/>
  <c r="N57" i="32" s="1"/>
  <c r="N58" i="32" s="1"/>
  <c r="V26" i="32"/>
  <c r="M27" i="32"/>
  <c r="M22" i="29"/>
  <c r="V21" i="29"/>
  <c r="N14" i="30"/>
  <c r="V13" i="30"/>
  <c r="N59" i="32" l="1"/>
  <c r="N60" i="32" s="1"/>
  <c r="N61" i="32" s="1"/>
  <c r="M28" i="32"/>
  <c r="V27" i="32"/>
  <c r="V14" i="30"/>
  <c r="N15" i="30"/>
  <c r="V22" i="29"/>
  <c r="M23" i="29"/>
  <c r="V28" i="32" l="1"/>
  <c r="M29" i="32"/>
  <c r="M24" i="29"/>
  <c r="V23" i="29"/>
  <c r="V15" i="30"/>
  <c r="N16" i="30"/>
  <c r="V29" i="32" l="1"/>
  <c r="V16" i="30"/>
  <c r="N17" i="30"/>
  <c r="V24" i="29"/>
  <c r="M25" i="29"/>
  <c r="V30" i="32" l="1"/>
  <c r="N18" i="30"/>
  <c r="V17" i="30"/>
  <c r="V25" i="29"/>
  <c r="M26" i="29"/>
  <c r="V31" i="32" l="1"/>
  <c r="V26" i="29"/>
  <c r="M27" i="29"/>
  <c r="V18" i="30"/>
  <c r="N19" i="30"/>
  <c r="V32" i="32" l="1"/>
  <c r="V19" i="30"/>
  <c r="N20" i="30"/>
  <c r="M28" i="29"/>
  <c r="V27" i="29"/>
  <c r="V33" i="32" l="1"/>
  <c r="M29" i="29"/>
  <c r="V28" i="29"/>
  <c r="V20" i="30"/>
  <c r="N21" i="30"/>
  <c r="V34" i="32" l="1"/>
  <c r="N22" i="30"/>
  <c r="V21" i="30"/>
  <c r="V29" i="29"/>
  <c r="M30" i="29"/>
  <c r="V35" i="32" l="1"/>
  <c r="M31" i="29"/>
  <c r="V30" i="29"/>
  <c r="V22" i="30"/>
  <c r="N23" i="30"/>
  <c r="V36" i="32" l="1"/>
  <c r="V23" i="30"/>
  <c r="N24" i="30"/>
  <c r="N25" i="30" s="1"/>
  <c r="N26" i="30" s="1"/>
  <c r="N27" i="30" s="1"/>
  <c r="N28" i="30" s="1"/>
  <c r="N29" i="30" s="1"/>
  <c r="N30" i="30" s="1"/>
  <c r="N31" i="30" s="1"/>
  <c r="N32" i="30" s="1"/>
  <c r="N33" i="30" s="1"/>
  <c r="N34" i="30" s="1"/>
  <c r="N35" i="30" s="1"/>
  <c r="N36" i="30" s="1"/>
  <c r="N37" i="30" s="1"/>
  <c r="N38" i="30" s="1"/>
  <c r="N39" i="30" s="1"/>
  <c r="N40" i="30" s="1"/>
  <c r="N41" i="30" s="1"/>
  <c r="N42" i="30" s="1"/>
  <c r="N43" i="30" s="1"/>
  <c r="N44" i="30" s="1"/>
  <c r="N45" i="30" s="1"/>
  <c r="N46" i="30" s="1"/>
  <c r="N47" i="30" s="1"/>
  <c r="N48" i="30" s="1"/>
  <c r="N49" i="30" s="1"/>
  <c r="N50" i="30" s="1"/>
  <c r="N51" i="30" s="1"/>
  <c r="N52" i="30" s="1"/>
  <c r="N53" i="30" s="1"/>
  <c r="V31" i="29"/>
  <c r="M32" i="29"/>
  <c r="V37" i="32" l="1"/>
  <c r="V32" i="29"/>
  <c r="M33" i="29"/>
  <c r="V38" i="32" l="1"/>
  <c r="V33" i="29"/>
  <c r="M34" i="29"/>
  <c r="V39" i="32" l="1"/>
  <c r="M35" i="29"/>
  <c r="V34" i="29"/>
  <c r="V40" i="32" l="1"/>
  <c r="V35" i="29"/>
  <c r="M36" i="29"/>
  <c r="V41" i="32" l="1"/>
  <c r="M37" i="29"/>
  <c r="V36" i="29"/>
  <c r="V42" i="32" l="1"/>
  <c r="V37" i="29"/>
  <c r="M38" i="29"/>
  <c r="V43" i="32" l="1"/>
  <c r="V38" i="29"/>
  <c r="M39" i="29"/>
  <c r="V44" i="32" l="1"/>
  <c r="M40" i="29"/>
  <c r="V39" i="29"/>
  <c r="V45" i="32" l="1"/>
  <c r="M41" i="29"/>
  <c r="V40" i="29"/>
  <c r="V46" i="32" l="1"/>
  <c r="V41" i="29"/>
  <c r="M42" i="29"/>
  <c r="V47" i="32" l="1"/>
  <c r="M43" i="29"/>
  <c r="V42" i="29"/>
  <c r="V48" i="32" l="1"/>
  <c r="M44" i="29"/>
  <c r="V43" i="29"/>
  <c r="V49" i="32" l="1"/>
  <c r="M45" i="29"/>
  <c r="V44" i="29"/>
  <c r="V50" i="32" l="1"/>
  <c r="M46" i="29"/>
  <c r="V45" i="29"/>
  <c r="V51" i="32" l="1"/>
  <c r="V46" i="29"/>
  <c r="M47" i="29"/>
  <c r="V52" i="32" l="1"/>
  <c r="M48" i="29"/>
  <c r="V47" i="29"/>
  <c r="V53" i="32" l="1"/>
  <c r="M49" i="29"/>
  <c r="V48" i="29"/>
  <c r="V54" i="32" l="1"/>
  <c r="V49" i="29"/>
  <c r="M50" i="29"/>
  <c r="V55" i="32" l="1"/>
  <c r="V50" i="29"/>
  <c r="M51" i="29"/>
  <c r="V56" i="32" l="1"/>
  <c r="M57" i="32"/>
  <c r="M52" i="29"/>
  <c r="V51" i="29"/>
  <c r="M58" i="32" l="1"/>
  <c r="V57" i="32"/>
  <c r="V52" i="29"/>
  <c r="M53" i="29"/>
  <c r="V58" i="32" l="1"/>
  <c r="M59" i="32"/>
  <c r="M54" i="29"/>
  <c r="V53" i="29"/>
  <c r="V59" i="32" l="1"/>
  <c r="M60" i="32"/>
  <c r="V54" i="29"/>
  <c r="M55" i="29"/>
  <c r="V60" i="32" l="1"/>
  <c r="M61" i="32"/>
  <c r="V61" i="32" s="1"/>
  <c r="V55" i="29"/>
  <c r="M56" i="29"/>
  <c r="M57" i="29" l="1"/>
  <c r="V56" i="29"/>
  <c r="M58" i="29" l="1"/>
  <c r="V57" i="29"/>
  <c r="V58" i="29" l="1"/>
  <c r="M59" i="29"/>
  <c r="V59" i="29" l="1"/>
  <c r="M60" i="29"/>
  <c r="M61" i="29" l="1"/>
  <c r="V61" i="29" s="1"/>
  <c r="V60" i="29"/>
</calcChain>
</file>

<file path=xl/sharedStrings.xml><?xml version="1.0" encoding="utf-8"?>
<sst xmlns="http://schemas.openxmlformats.org/spreadsheetml/2006/main" count="736" uniqueCount="270">
  <si>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</si>
  <si>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</si>
  <si>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</si>
  <si>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</si>
  <si>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</si>
  <si>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</si>
  <si>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</si>
  <si>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</si>
  <si>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</si>
  <si>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</si>
  <si>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</si>
  <si>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</si>
  <si>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</si>
  <si>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</si>
  <si>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</si>
  <si>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</si>
  <si>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</si>
  <si>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</si>
  <si>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</si>
  <si>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</si>
  <si>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</si>
  <si>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</si>
  <si>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</si>
  <si>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</si>
  <si>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</si>
  <si>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</si>
  <si>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</si>
  <si>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</si>
  <si>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</si>
  <si>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</si>
  <si>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</si>
  <si>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</si>
  <si>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</si>
  <si>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</si>
  <si>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</si>
  <si>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</si>
  <si>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</si>
  <si>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</si>
  <si>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</si>
  <si>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</si>
  <si>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</si>
  <si>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</si>
  <si>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</si>
  <si>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</si>
  <si>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</si>
  <si>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</si>
  <si>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</si>
  <si>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</si>
  <si>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</si>
  <si>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</si>
  <si>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</si>
  <si>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</si>
  <si>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</si>
  <si>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</si>
  <si>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</si>
  <si>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</si>
  <si>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</si>
  <si>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</si>
  <si>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</si>
  <si>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</si>
  <si>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</si>
  <si>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</si>
  <si>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</si>
  <si>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</si>
  <si>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</si>
  <si>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</si>
  <si>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</si>
  <si>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</si>
  <si>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</si>
  <si>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</si>
  <si>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</si>
  <si>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</si>
  <si>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</si>
  <si>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</si>
  <si>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</si>
  <si>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</si>
  <si>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</si>
  <si>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</si>
  <si>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</si>
  <si>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</si>
  <si>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</si>
  <si>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</si>
  <si>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</si>
  <si>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</si>
  <si>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</si>
  <si>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</si>
  <si>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</si>
  <si>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</si>
  <si>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</si>
  <si>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</si>
  <si>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</si>
  <si>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</si>
  <si>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</si>
  <si>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</si>
  <si>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</si>
  <si>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</si>
  <si>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</si>
  <si>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</si>
  <si>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</si>
  <si>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</si>
  <si>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</si>
  <si>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</si>
  <si>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</si>
  <si>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</si>
  <si>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</si>
  <si>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</si>
  <si>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</si>
  <si>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</si>
  <si>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</si>
  <si>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</si>
  <si>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</si>
  <si>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</si>
  <si>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</si>
  <si>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</si>
  <si>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</si>
  <si>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</si>
  <si>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</si>
  <si>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</si>
  <si>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</si>
  <si>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</si>
  <si>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</si>
  <si>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</si>
  <si>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</si>
  <si>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</si>
  <si>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</si>
  <si>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</si>
  <si>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</si>
  <si>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</si>
  <si>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</si>
  <si>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</si>
  <si>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</si>
  <si>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</si>
  <si>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</si>
  <si>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</si>
  <si>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</si>
  <si>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</si>
  <si>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</si>
  <si>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</si>
  <si>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</si>
  <si>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</si>
  <si>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</si>
  <si>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</si>
  <si>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</si>
  <si>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</si>
  <si>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</si>
  <si>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</si>
  <si>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</si>
  <si>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</si>
  <si>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</si>
  <si>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</si>
  <si>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</si>
  <si>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</si>
  <si>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</si>
  <si>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</si>
  <si>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</si>
  <si>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</si>
  <si>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</si>
  <si>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</si>
  <si>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</si>
  <si>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</si>
  <si>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</si>
  <si>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</si>
  <si>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</si>
  <si>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</si>
  <si>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</si>
  <si>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</si>
  <si>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</si>
  <si>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</si>
  <si>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</si>
  <si>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</si>
  <si>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</si>
  <si>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</si>
  <si>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</si>
  <si>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</si>
  <si>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</si>
  <si>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</si>
  <si>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</si>
  <si>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</si>
  <si>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</si>
  <si>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</si>
  <si>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</si>
  <si>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</si>
  <si>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</si>
  <si>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</si>
  <si>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</si>
  <si>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</si>
  <si>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</si>
  <si>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</si>
  <si>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</si>
  <si>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</si>
  <si>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</si>
  <si>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</si>
  <si>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</si>
  <si>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</si>
  <si>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</si>
  <si>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</si>
  <si>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</si>
  <si>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</si>
  <si>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</si>
  <si>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</si>
  <si>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</si>
  <si>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</si>
  <si>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</si>
  <si>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</si>
  <si>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</si>
  <si>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</si>
  <si>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</si>
  <si>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</si>
  <si>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</si>
  <si>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</si>
  <si>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</si>
  <si>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</si>
  <si>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</si>
  <si>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</si>
  <si>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</si>
  <si>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</si>
  <si>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</si>
  <si>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</si>
  <si>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</si>
  <si>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</si>
  <si>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</si>
  <si>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</si>
  <si>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</si>
  <si>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>2017/18</t>
  </si>
  <si>
    <t>Taiwan, Prov of China</t>
  </si>
  <si>
    <t>Korea, Rep of</t>
  </si>
  <si>
    <t>Other than Africa/Ander as Afrika</t>
  </si>
  <si>
    <t>Uganda</t>
  </si>
  <si>
    <t>Qatar</t>
  </si>
  <si>
    <t>Vietnam</t>
  </si>
  <si>
    <t>2018/19</t>
  </si>
  <si>
    <t>Fisiese Invoere</t>
  </si>
  <si>
    <t>Physical Imports</t>
  </si>
  <si>
    <t>Invoer intensies</t>
  </si>
  <si>
    <t>Import intentions</t>
  </si>
  <si>
    <t>Fisiese Uitvoere</t>
  </si>
  <si>
    <t>Physical Exports</t>
  </si>
  <si>
    <t>Uitvoer intensies</t>
  </si>
  <si>
    <t>Export intentions</t>
  </si>
  <si>
    <t>Korea, Dem Peoples Rep</t>
  </si>
  <si>
    <t>2019/20</t>
  </si>
  <si>
    <t>Eswatini (Swaziland)</t>
  </si>
  <si>
    <t>Djibouti</t>
  </si>
  <si>
    <t>2020/21</t>
  </si>
  <si>
    <t>Metric Tons</t>
  </si>
  <si>
    <t>Palau</t>
  </si>
  <si>
    <t>2021/22</t>
  </si>
  <si>
    <t>UITVOERE/EXPORTS - 2021/22 Marketing season/ bemarkingseisoen</t>
  </si>
  <si>
    <t xml:space="preserve">1 Mei 2021 tot </t>
  </si>
  <si>
    <t>Week nr</t>
  </si>
  <si>
    <t>2011/2012</t>
  </si>
  <si>
    <t>2013/2014</t>
  </si>
  <si>
    <t>2017/2018</t>
  </si>
  <si>
    <t>2018/2019</t>
  </si>
  <si>
    <t>2020/2021</t>
  </si>
  <si>
    <t>2021/2022*</t>
  </si>
  <si>
    <t>Avg YTD exports (top 5 export yrs)</t>
  </si>
  <si>
    <t>SAGIS: WEEKLIKSE INVOERE EN UITVOERE 2022/23 Bemarkingseisoen</t>
  </si>
  <si>
    <t>SAGIS: WEEKLY IMPORTS AND EXPORTS 2022/23 Marketing season</t>
  </si>
  <si>
    <t xml:space="preserve">30 April 2022 tot </t>
  </si>
  <si>
    <t>2022/23</t>
  </si>
  <si>
    <t>Albania</t>
  </si>
  <si>
    <t>Honduras</t>
  </si>
  <si>
    <t>Guatemala</t>
  </si>
  <si>
    <t>China</t>
  </si>
  <si>
    <t>SAGIS: WEEKLIKSE INVOERE EN UITVOERE 2023/24 Bemarkingseisoen</t>
  </si>
  <si>
    <t>SAGIS: WEEKLY IMPORTS AND EXPORTS 2023/24 Marketing season</t>
  </si>
  <si>
    <t>30 April 2023 to</t>
  </si>
  <si>
    <t>2023/24</t>
  </si>
  <si>
    <t>Malawi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</si>
</sst>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* #,##0_ ;_ * \-#,##0_ ;_ * &quot;-&quot;_ ;_ @_ "/>
    <numFmt numFmtId="165" formatCode="_ * #,##0.00_ ;_ * \-#,##0.00_ ;_ * &quot;-&quot;??_ ;_ @_ "/>
    <numFmt numFmtId="166" formatCode="_(* #,##0.00_);_(* \(#,##0.00\);_(* &quot;-&quot;??_);_(@_)"/>
    <numFmt numFmtId="167" formatCode="_ * #,##0_ ;_ * \-#,##0_ ;_ * &quot;-&quot;??_ ;_ @_ "/>
    <numFmt numFmtId="168" formatCode="_(* #,##0_);_(* \(#,##0\);_(* &quot;-&quot;??_);_(@_)"/>
    <numFmt numFmtId="169" formatCode="[$-409]d\-mmm;@"/>
    <numFmt numFmtId="170" formatCode="_-* #,##0_-;\-* #,##0_-;_-* &quot;-&quot;??_-;_-@_-"/>
    <numFmt numFmtId="171" formatCode="0.000"/>
    <numFmt numFmtId="172" formatCode="_ * #,##0.000_ ;_ * \-#,##0.000_ ;_ * &quot;-&quot;??_ ;_ @_ "/>
    <numFmt numFmtId="173" formatCode="#,##0.000_ ;\-#,##0.000\ "/>
    <numFmt numFmtId="174" formatCode="#,##0.000"/>
    <numFmt numFmtId="175" formatCode="0.000_ ;[Red]\-0.000\ 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3F3F76"/>
      <name val="Calibri"/>
      <family val="2"/>
      <scheme val="minor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8" fillId="2" borderId="33" applyNumberFormat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3" fontId="0" fillId="0" borderId="0" xfId="0" applyNumberForma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6" fillId="0" borderId="1" xfId="1" applyNumberFormat="1" applyFont="1" applyBorder="1"/>
    <xf numFmtId="167" fontId="6" fillId="0" borderId="4" xfId="1" applyNumberFormat="1" applyFont="1" applyBorder="1"/>
    <xf numFmtId="167" fontId="6" fillId="0" borderId="0" xfId="1" applyNumberFormat="1" applyFont="1" applyBorder="1"/>
    <xf numFmtId="49" fontId="4" fillId="0" borderId="0" xfId="0" applyNumberFormat="1" applyFont="1"/>
    <xf numFmtId="167" fontId="0" fillId="0" borderId="0" xfId="0" applyNumberFormat="1"/>
    <xf numFmtId="167" fontId="0" fillId="0" borderId="9" xfId="1" applyNumberFormat="1" applyFont="1" applyBorder="1"/>
    <xf numFmtId="3" fontId="0" fillId="0" borderId="9" xfId="0" applyNumberFormat="1" applyBorder="1"/>
    <xf numFmtId="0" fontId="3" fillId="0" borderId="10" xfId="0" applyFont="1" applyBorder="1"/>
    <xf numFmtId="0" fontId="3" fillId="0" borderId="11" xfId="0" applyFont="1" applyBorder="1"/>
    <xf numFmtId="167" fontId="0" fillId="0" borderId="12" xfId="1" applyNumberFormat="1" applyFont="1" applyBorder="1"/>
    <xf numFmtId="167" fontId="0" fillId="0" borderId="13" xfId="1" applyNumberFormat="1" applyFont="1" applyBorder="1"/>
    <xf numFmtId="0" fontId="3" fillId="0" borderId="14" xfId="0" applyFont="1" applyBorder="1"/>
    <xf numFmtId="0" fontId="0" fillId="0" borderId="15" xfId="0" applyBorder="1"/>
    <xf numFmtId="3" fontId="0" fillId="0" borderId="16" xfId="0" applyNumberFormat="1" applyBorder="1"/>
    <xf numFmtId="0" fontId="3" fillId="0" borderId="17" xfId="0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0" fontId="0" fillId="0" borderId="14" xfId="0" applyBorder="1"/>
    <xf numFmtId="167" fontId="0" fillId="0" borderId="16" xfId="1" applyNumberFormat="1" applyFont="1" applyBorder="1"/>
    <xf numFmtId="0" fontId="0" fillId="0" borderId="17" xfId="0" applyBorder="1"/>
    <xf numFmtId="3" fontId="3" fillId="0" borderId="0" xfId="0" applyNumberFormat="1" applyFont="1"/>
    <xf numFmtId="0" fontId="0" fillId="0" borderId="9" xfId="0" applyBorder="1"/>
    <xf numFmtId="0" fontId="3" fillId="0" borderId="9" xfId="0" applyFont="1" applyBorder="1"/>
    <xf numFmtId="0" fontId="8" fillId="0" borderId="15" xfId="0" applyFont="1" applyBorder="1"/>
    <xf numFmtId="167" fontId="8" fillId="0" borderId="9" xfId="1" applyNumberFormat="1" applyFont="1" applyBorder="1"/>
    <xf numFmtId="167" fontId="8" fillId="0" borderId="16" xfId="1" applyNumberFormat="1" applyFont="1" applyBorder="1"/>
    <xf numFmtId="0" fontId="4" fillId="0" borderId="9" xfId="0" applyFont="1" applyBorder="1"/>
    <xf numFmtId="0" fontId="4" fillId="0" borderId="18" xfId="0" applyFont="1" applyBorder="1"/>
    <xf numFmtId="15" fontId="4" fillId="0" borderId="0" xfId="0" applyNumberFormat="1" applyFont="1"/>
    <xf numFmtId="167" fontId="6" fillId="0" borderId="19" xfId="1" applyNumberFormat="1" applyFont="1" applyBorder="1"/>
    <xf numFmtId="167" fontId="6" fillId="0" borderId="20" xfId="1" applyNumberFormat="1" applyFont="1" applyBorder="1"/>
    <xf numFmtId="167" fontId="6" fillId="0" borderId="21" xfId="1" applyNumberFormat="1" applyFont="1" applyBorder="1"/>
    <xf numFmtId="167" fontId="6" fillId="0" borderId="6" xfId="1" applyNumberFormat="1" applyFont="1" applyBorder="1"/>
    <xf numFmtId="167" fontId="6" fillId="0" borderId="22" xfId="1" applyNumberFormat="1" applyFont="1" applyBorder="1"/>
    <xf numFmtId="166" fontId="0" fillId="0" borderId="0" xfId="0" applyNumberFormat="1"/>
    <xf numFmtId="167" fontId="0" fillId="0" borderId="0" xfId="1" applyNumberFormat="1" applyFont="1" applyBorder="1"/>
    <xf numFmtId="9" fontId="0" fillId="0" borderId="0" xfId="0" applyNumberForma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 horizontal="right"/>
    </xf>
    <xf numFmtId="167" fontId="3" fillId="0" borderId="0" xfId="1" applyNumberFormat="1" applyFont="1" applyBorder="1"/>
    <xf numFmtId="0" fontId="2" fillId="0" borderId="15" xfId="0" applyFont="1" applyBorder="1"/>
    <xf numFmtId="0" fontId="6" fillId="0" borderId="6" xfId="1" applyNumberFormat="1" applyFont="1" applyBorder="1"/>
    <xf numFmtId="0" fontId="6" fillId="0" borderId="1" xfId="1" applyNumberFormat="1" applyFont="1" applyBorder="1"/>
    <xf numFmtId="0" fontId="6" fillId="0" borderId="4" xfId="1" applyNumberFormat="1" applyFont="1" applyBorder="1"/>
    <xf numFmtId="0" fontId="6" fillId="0" borderId="0" xfId="1" applyNumberFormat="1" applyFont="1" applyBorder="1"/>
    <xf numFmtId="0" fontId="2" fillId="0" borderId="9" xfId="0" applyFont="1" applyBorder="1"/>
    <xf numFmtId="167" fontId="0" fillId="0" borderId="23" xfId="1" applyNumberFormat="1" applyFont="1" applyBorder="1"/>
    <xf numFmtId="167" fontId="0" fillId="0" borderId="24" xfId="1" applyNumberFormat="1" applyFont="1" applyBorder="1"/>
    <xf numFmtId="0" fontId="2" fillId="0" borderId="0" xfId="0" applyFont="1"/>
    <xf numFmtId="0" fontId="9" fillId="0" borderId="0" xfId="0" applyFont="1"/>
    <xf numFmtId="0" fontId="10" fillId="0" borderId="0" xfId="0" applyFont="1"/>
    <xf numFmtId="15" fontId="10" fillId="0" borderId="0" xfId="0" applyNumberFormat="1" applyFont="1"/>
    <xf numFmtId="3" fontId="10" fillId="0" borderId="0" xfId="0" applyNumberFormat="1" applyFont="1"/>
    <xf numFmtId="167" fontId="10" fillId="0" borderId="0" xfId="1" applyNumberFormat="1" applyFont="1"/>
    <xf numFmtId="0" fontId="9" fillId="0" borderId="9" xfId="0" applyFont="1" applyBorder="1"/>
    <xf numFmtId="167" fontId="9" fillId="0" borderId="9" xfId="1" applyNumberFormat="1" applyFont="1" applyBorder="1"/>
    <xf numFmtId="0" fontId="10" fillId="0" borderId="9" xfId="0" applyFont="1" applyBorder="1"/>
    <xf numFmtId="167" fontId="10" fillId="0" borderId="9" xfId="1" applyNumberFormat="1" applyFont="1" applyBorder="1"/>
    <xf numFmtId="0" fontId="3" fillId="0" borderId="20" xfId="0" applyFont="1" applyBorder="1"/>
    <xf numFmtId="3" fontId="3" fillId="0" borderId="20" xfId="0" applyNumberFormat="1" applyFont="1" applyBorder="1"/>
    <xf numFmtId="0" fontId="11" fillId="0" borderId="0" xfId="0" applyFont="1"/>
    <xf numFmtId="0" fontId="14" fillId="0" borderId="0" xfId="0" applyFont="1"/>
    <xf numFmtId="3" fontId="9" fillId="0" borderId="9" xfId="0" applyNumberFormat="1" applyFont="1" applyBorder="1"/>
    <xf numFmtId="168" fontId="14" fillId="0" borderId="12" xfId="0" applyNumberFormat="1" applyFont="1" applyBorder="1"/>
    <xf numFmtId="168" fontId="14" fillId="0" borderId="13" xfId="0" applyNumberFormat="1" applyFont="1" applyBorder="1"/>
    <xf numFmtId="0" fontId="14" fillId="0" borderId="17" xfId="0" applyFont="1" applyBorder="1"/>
    <xf numFmtId="0" fontId="4" fillId="0" borderId="23" xfId="0" applyFont="1" applyBorder="1"/>
    <xf numFmtId="0" fontId="3" fillId="0" borderId="24" xfId="0" applyFont="1" applyBorder="1"/>
    <xf numFmtId="17" fontId="2" fillId="0" borderId="0" xfId="0" quotePrefix="1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4" fillId="0" borderId="21" xfId="0" applyFont="1" applyBorder="1"/>
    <xf numFmtId="0" fontId="4" fillId="0" borderId="2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18" fillId="2" borderId="33" xfId="2"/>
    <xf numFmtId="167" fontId="18" fillId="2" borderId="33" xfId="2" applyNumberFormat="1"/>
    <xf numFmtId="3" fontId="18" fillId="2" borderId="33" xfId="2" applyNumberFormat="1"/>
    <xf numFmtId="167" fontId="18" fillId="2" borderId="34" xfId="2" applyNumberFormat="1" applyBorder="1"/>
    <xf numFmtId="15" fontId="19" fillId="2" borderId="33" xfId="2" applyNumberFormat="1" applyFont="1"/>
    <xf numFmtId="0" fontId="2" fillId="0" borderId="18" xfId="0" applyFont="1" applyBorder="1"/>
    <xf numFmtId="167" fontId="3" fillId="0" borderId="9" xfId="0" applyNumberFormat="1" applyFont="1" applyBorder="1"/>
    <xf numFmtId="167" fontId="3" fillId="0" borderId="24" xfId="0" applyNumberFormat="1" applyFont="1" applyBorder="1"/>
    <xf numFmtId="167" fontId="20" fillId="3" borderId="9" xfId="2" applyNumberFormat="1" applyFont="1" applyFill="1" applyBorder="1"/>
    <xf numFmtId="3" fontId="20" fillId="3" borderId="9" xfId="2" applyNumberFormat="1" applyFont="1" applyFill="1" applyBorder="1"/>
    <xf numFmtId="3" fontId="21" fillId="3" borderId="9" xfId="0" applyNumberFormat="1" applyFont="1" applyFill="1" applyBorder="1"/>
    <xf numFmtId="0" fontId="20" fillId="0" borderId="27" xfId="0" applyFont="1" applyBorder="1"/>
    <xf numFmtId="3" fontId="0" fillId="0" borderId="24" xfId="0" applyNumberFormat="1" applyBorder="1"/>
    <xf numFmtId="167" fontId="3" fillId="3" borderId="9" xfId="1" applyNumberFormat="1" applyFont="1" applyFill="1" applyBorder="1"/>
    <xf numFmtId="15" fontId="18" fillId="2" borderId="36" xfId="2" applyNumberFormat="1" applyBorder="1" applyAlignment="1">
      <alignment horizontal="right"/>
    </xf>
    <xf numFmtId="0" fontId="18" fillId="2" borderId="36" xfId="2" applyBorder="1"/>
    <xf numFmtId="167" fontId="0" fillId="0" borderId="28" xfId="1" applyNumberFormat="1" applyFont="1" applyBorder="1"/>
    <xf numFmtId="3" fontId="3" fillId="3" borderId="9" xfId="0" applyNumberFormat="1" applyFont="1" applyFill="1" applyBorder="1"/>
    <xf numFmtId="167" fontId="22" fillId="3" borderId="9" xfId="2" applyNumberFormat="1" applyFont="1" applyFill="1" applyBorder="1"/>
    <xf numFmtId="3" fontId="22" fillId="3" borderId="9" xfId="2" applyNumberFormat="1" applyFont="1" applyFill="1" applyBorder="1"/>
    <xf numFmtId="15" fontId="18" fillId="2" borderId="37" xfId="2" applyNumberFormat="1" applyBorder="1" applyAlignment="1">
      <alignment horizontal="center"/>
    </xf>
    <xf numFmtId="0" fontId="18" fillId="2" borderId="33" xfId="2" applyNumberFormat="1"/>
    <xf numFmtId="0" fontId="6" fillId="0" borderId="3" xfId="0" applyFont="1" applyBorder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15" fontId="18" fillId="2" borderId="33" xfId="2" applyNumberFormat="1"/>
    <xf numFmtId="15" fontId="22" fillId="0" borderId="0" xfId="0" applyNumberFormat="1" applyFont="1"/>
    <xf numFmtId="0" fontId="15" fillId="0" borderId="0" xfId="0" applyFont="1" applyAlignment="1">
      <alignment horizontal="right"/>
    </xf>
    <xf numFmtId="167" fontId="3" fillId="3" borderId="0" xfId="1" applyNumberFormat="1" applyFont="1" applyFill="1" applyBorder="1"/>
    <xf numFmtId="167" fontId="18" fillId="2" borderId="38" xfId="2" applyNumberFormat="1" applyBorder="1"/>
    <xf numFmtId="167" fontId="22" fillId="0" borderId="9" xfId="2" applyNumberFormat="1" applyFont="1" applyFill="1" applyBorder="1"/>
    <xf numFmtId="3" fontId="22" fillId="0" borderId="9" xfId="2" applyNumberFormat="1" applyFont="1" applyFill="1" applyBorder="1"/>
    <xf numFmtId="165" fontId="0" fillId="0" borderId="18" xfId="1" applyFont="1" applyBorder="1"/>
    <xf numFmtId="0" fontId="17" fillId="0" borderId="0" xfId="0" applyFont="1"/>
    <xf numFmtId="169" fontId="10" fillId="0" borderId="0" xfId="0" applyNumberFormat="1" applyFont="1"/>
    <xf numFmtId="0" fontId="24" fillId="0" borderId="39" xfId="0" applyFont="1" applyBorder="1" applyAlignment="1">
      <alignment horizontal="right"/>
    </xf>
    <xf numFmtId="0" fontId="24" fillId="0" borderId="39" xfId="0" applyFont="1" applyBorder="1" applyAlignment="1">
      <alignment horizontal="center"/>
    </xf>
    <xf numFmtId="3" fontId="25" fillId="0" borderId="39" xfId="0" applyNumberFormat="1" applyFont="1" applyBorder="1" applyAlignment="1">
      <alignment horizontal="right"/>
    </xf>
    <xf numFmtId="3" fontId="24" fillId="0" borderId="39" xfId="0" applyNumberFormat="1" applyFont="1" applyBorder="1" applyAlignment="1">
      <alignment horizontal="right"/>
    </xf>
    <xf numFmtId="15" fontId="18" fillId="3" borderId="0" xfId="2" applyNumberFormat="1" applyFill="1" applyBorder="1" applyAlignment="1">
      <alignment horizontal="right"/>
    </xf>
    <xf numFmtId="0" fontId="18" fillId="3" borderId="0" xfId="2" applyFill="1" applyBorder="1"/>
    <xf numFmtId="15" fontId="18" fillId="3" borderId="29" xfId="2" applyNumberFormat="1" applyFill="1" applyBorder="1" applyAlignment="1">
      <alignment horizontal="right"/>
    </xf>
    <xf numFmtId="0" fontId="18" fillId="3" borderId="29" xfId="2" applyFill="1" applyBorder="1"/>
    <xf numFmtId="167" fontId="22" fillId="0" borderId="24" xfId="2" applyNumberFormat="1" applyFont="1" applyFill="1" applyBorder="1"/>
    <xf numFmtId="3" fontId="22" fillId="0" borderId="24" xfId="2" applyNumberFormat="1" applyFont="1" applyFill="1" applyBorder="1"/>
    <xf numFmtId="167" fontId="3" fillId="3" borderId="24" xfId="1" applyNumberFormat="1" applyFont="1" applyFill="1" applyBorder="1"/>
    <xf numFmtId="0" fontId="3" fillId="0" borderId="4" xfId="0" applyFont="1" applyBorder="1"/>
    <xf numFmtId="0" fontId="26" fillId="0" borderId="2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2" xfId="0" applyFont="1" applyBorder="1" applyAlignment="1">
      <alignment horizontal="right"/>
    </xf>
    <xf numFmtId="0" fontId="26" fillId="0" borderId="3" xfId="0" applyFont="1" applyBorder="1"/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67" fontId="2" fillId="0" borderId="4" xfId="1" applyNumberFormat="1" applyFont="1" applyBorder="1"/>
    <xf numFmtId="167" fontId="2" fillId="0" borderId="22" xfId="1" applyNumberFormat="1" applyFont="1" applyBorder="1"/>
    <xf numFmtId="167" fontId="2" fillId="0" borderId="6" xfId="1" applyNumberFormat="1" applyFont="1" applyBorder="1"/>
    <xf numFmtId="164" fontId="18" fillId="2" borderId="35" xfId="2" applyNumberFormat="1" applyBorder="1"/>
    <xf numFmtId="0" fontId="18" fillId="0" borderId="1" xfId="2" applyNumberFormat="1" applyFill="1" applyBorder="1"/>
    <xf numFmtId="0" fontId="18" fillId="0" borderId="8" xfId="2" applyNumberFormat="1" applyFill="1" applyBorder="1"/>
    <xf numFmtId="0" fontId="18" fillId="0" borderId="4" xfId="2" applyNumberFormat="1" applyFill="1" applyBorder="1"/>
    <xf numFmtId="0" fontId="18" fillId="0" borderId="19" xfId="2" applyNumberFormat="1" applyFill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3" fillId="0" borderId="0" xfId="0" quotePrefix="1" applyFont="1" applyAlignment="1">
      <alignment horizontal="right"/>
    </xf>
    <xf numFmtId="0" fontId="21" fillId="0" borderId="0" xfId="0" quotePrefix="1" applyFont="1" applyAlignment="1">
      <alignment horizontal="right"/>
    </xf>
    <xf numFmtId="0" fontId="3" fillId="0" borderId="30" xfId="0" quotePrefix="1" applyFont="1" applyBorder="1" applyAlignment="1">
      <alignment horizontal="right"/>
    </xf>
    <xf numFmtId="0" fontId="18" fillId="0" borderId="6" xfId="2" applyNumberFormat="1" applyFill="1" applyBorder="1"/>
    <xf numFmtId="0" fontId="18" fillId="0" borderId="21" xfId="2" applyNumberFormat="1" applyFill="1" applyBorder="1"/>
    <xf numFmtId="15" fontId="22" fillId="3" borderId="0" xfId="2" applyNumberFormat="1" applyFont="1" applyFill="1" applyBorder="1" applyAlignment="1">
      <alignment horizontal="right"/>
    </xf>
    <xf numFmtId="0" fontId="22" fillId="3" borderId="0" xfId="2" applyFont="1" applyFill="1" applyBorder="1"/>
    <xf numFmtId="167" fontId="22" fillId="0" borderId="38" xfId="2" applyNumberFormat="1" applyFont="1" applyFill="1" applyBorder="1"/>
    <xf numFmtId="15" fontId="18" fillId="2" borderId="40" xfId="2" applyNumberFormat="1" applyBorder="1" applyAlignment="1">
      <alignment horizontal="center"/>
    </xf>
    <xf numFmtId="0" fontId="18" fillId="2" borderId="41" xfId="2" applyBorder="1"/>
    <xf numFmtId="170" fontId="0" fillId="0" borderId="0" xfId="1" applyNumberFormat="1" applyFont="1"/>
    <xf numFmtId="170" fontId="0" fillId="0" borderId="0" xfId="0" applyNumberFormat="1"/>
    <xf numFmtId="9" fontId="0" fillId="0" borderId="0" xfId="4" applyFont="1"/>
    <xf numFmtId="0" fontId="18" fillId="2" borderId="45" xfId="2" applyNumberFormat="1" applyBorder="1"/>
    <xf numFmtId="0" fontId="6" fillId="0" borderId="21" xfId="1" applyNumberFormat="1" applyFont="1" applyBorder="1"/>
    <xf numFmtId="0" fontId="6" fillId="0" borderId="26" xfId="1" applyNumberFormat="1" applyFont="1" applyBorder="1"/>
    <xf numFmtId="164" fontId="18" fillId="2" borderId="46" xfId="2" applyNumberFormat="1" applyBorder="1"/>
    <xf numFmtId="3" fontId="18" fillId="2" borderId="38" xfId="2" applyNumberFormat="1" applyBorder="1"/>
    <xf numFmtId="0" fontId="21" fillId="0" borderId="0" xfId="0" applyFont="1"/>
    <xf numFmtId="0" fontId="1" fillId="0" borderId="9" xfId="0" applyFont="1" applyBorder="1"/>
    <xf numFmtId="171" fontId="4" fillId="0" borderId="0" xfId="0" applyNumberFormat="1" applyFont="1"/>
    <xf numFmtId="171" fontId="6" fillId="0" borderId="2" xfId="0" applyNumberFormat="1" applyFont="1" applyBorder="1"/>
    <xf numFmtId="171" fontId="6" fillId="0" borderId="2" xfId="0" applyNumberFormat="1" applyFont="1" applyBorder="1" applyAlignment="1">
      <alignment horizontal="center"/>
    </xf>
    <xf numFmtId="171" fontId="6" fillId="0" borderId="0" xfId="1" applyNumberFormat="1" applyFont="1" applyBorder="1"/>
    <xf numFmtId="171" fontId="6" fillId="0" borderId="25" xfId="1" applyNumberFormat="1" applyFont="1" applyBorder="1"/>
    <xf numFmtId="171" fontId="6" fillId="0" borderId="22" xfId="1" applyNumberFormat="1" applyFont="1" applyBorder="1"/>
    <xf numFmtId="171" fontId="6" fillId="0" borderId="26" xfId="1" applyNumberFormat="1" applyFont="1" applyBorder="1"/>
    <xf numFmtId="167" fontId="6" fillId="0" borderId="8" xfId="1" applyNumberFormat="1" applyFont="1" applyBorder="1"/>
    <xf numFmtId="167" fontId="2" fillId="0" borderId="19" xfId="1" applyNumberFormat="1" applyFont="1" applyBorder="1"/>
    <xf numFmtId="167" fontId="2" fillId="0" borderId="0" xfId="1" applyNumberFormat="1" applyFont="1" applyBorder="1"/>
    <xf numFmtId="167" fontId="2" fillId="0" borderId="21" xfId="1" applyNumberFormat="1" applyFont="1" applyBorder="1"/>
    <xf numFmtId="171" fontId="6" fillId="0" borderId="20" xfId="1" applyNumberFormat="1" applyFont="1" applyBorder="1"/>
    <xf numFmtId="173" fontId="18" fillId="2" borderId="38" xfId="2" applyNumberFormat="1" applyBorder="1"/>
    <xf numFmtId="172" fontId="18" fillId="2" borderId="35" xfId="2" applyNumberFormat="1" applyBorder="1"/>
    <xf numFmtId="174" fontId="4" fillId="0" borderId="0" xfId="0" applyNumberFormat="1" applyFont="1"/>
    <xf numFmtId="174" fontId="18" fillId="2" borderId="33" xfId="2" applyNumberFormat="1"/>
    <xf numFmtId="174" fontId="18" fillId="2" borderId="46" xfId="2" applyNumberFormat="1" applyBorder="1"/>
    <xf numFmtId="174" fontId="4" fillId="0" borderId="8" xfId="0" applyNumberFormat="1" applyFont="1" applyBorder="1" applyAlignment="1">
      <alignment horizontal="center"/>
    </xf>
    <xf numFmtId="174" fontId="4" fillId="0" borderId="21" xfId="0" applyNumberFormat="1" applyFont="1" applyBorder="1"/>
    <xf numFmtId="174" fontId="4" fillId="0" borderId="3" xfId="0" applyNumberFormat="1" applyFont="1" applyBorder="1" applyAlignment="1">
      <alignment horizontal="center"/>
    </xf>
    <xf numFmtId="171" fontId="4" fillId="0" borderId="25" xfId="0" applyNumberFormat="1" applyFont="1" applyBorder="1" applyAlignment="1">
      <alignment horizontal="center"/>
    </xf>
    <xf numFmtId="171" fontId="4" fillId="0" borderId="26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center"/>
    </xf>
    <xf numFmtId="171" fontId="18" fillId="2" borderId="33" xfId="2" applyNumberFormat="1"/>
    <xf numFmtId="171" fontId="18" fillId="2" borderId="35" xfId="2" applyNumberFormat="1" applyBorder="1"/>
    <xf numFmtId="171" fontId="18" fillId="2" borderId="46" xfId="2" applyNumberFormat="1" applyBorder="1"/>
    <xf numFmtId="171" fontId="2" fillId="0" borderId="0" xfId="0" applyNumberFormat="1" applyFont="1"/>
    <xf numFmtId="175" fontId="18" fillId="2" borderId="33" xfId="2" applyNumberFormat="1"/>
    <xf numFmtId="174" fontId="18" fillId="2" borderId="33" xfId="2" applyNumberFormat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4" fillId="0" borderId="42" xfId="0" applyFont="1" applyBorder="1" applyAlignment="1">
      <alignment horizontal="left"/>
    </xf>
    <xf numFmtId="0" fontId="24" fillId="0" borderId="43" xfId="0" applyFont="1" applyBorder="1" applyAlignment="1">
      <alignment horizontal="left"/>
    </xf>
    <xf numFmtId="0" fontId="24" fillId="0" borderId="44" xfId="0" applyFont="1" applyBorder="1" applyAlignment="1">
      <alignment horizontal="left"/>
    </xf>
  </cellXfs>
  <cellStyles count="5">
    <cellStyle name="Comma" xfId="1" builtinId="3"/>
    <cellStyle name="Input" xfId="2" builtinId="20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9.xml"/><Relationship Id="rId18" Type="http://schemas.openxmlformats.org/officeDocument/2006/relationships/worksheet" Target="worksheets/sheet9.xml"/><Relationship Id="rId26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4.xml"/><Relationship Id="rId17" Type="http://schemas.openxmlformats.org/officeDocument/2006/relationships/worksheet" Target="worksheets/sheet8.xml"/><Relationship Id="rId25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6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2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5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Yellow Maize Exports for 2023/24 (ton, %)</a:t>
            </a:r>
          </a:p>
        </c:rich>
      </c:tx>
      <c:layout>
        <c:manualLayout>
          <c:xMode val="edge"/>
          <c:yMode val="edge"/>
          <c:x val="0.2350416889310091"/>
          <c:y val="1.310174463486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705824079682348"/>
          <c:y val="0.1043931634529936"/>
          <c:w val="0.46882627977302144"/>
          <c:h val="0.71988677861021244"/>
        </c:manualLayout>
      </c:layout>
      <c:pieChart>
        <c:varyColors val="1"/>
        <c:ser>
          <c:idx val="2"/>
          <c:order val="0"/>
          <c:tx>
            <c:strRef>
              <c:f>'Export destin -Uitvoer bestem.'!$N$56</c:f>
              <c:strCache>
                <c:ptCount val="1"/>
                <c:pt idx="0">
                  <c:v>2023/24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C96-454B-B071-B55D7535F8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96-454B-B071-B55D7535F8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C96-454B-B071-B55D7535F8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96-454B-B071-B55D7535F8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C96-454B-B071-B55D7535F8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96-454B-B071-B55D7535F8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C96-454B-B071-B55D7535F8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96-454B-B071-B55D7535F8D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C96-454B-B071-B55D7535F8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96-454B-B071-B55D7535F8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C96-454B-B071-B55D7535F8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96-454B-B071-B55D7535F8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C96-454B-B071-B55D7535F8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C96-454B-B071-B55D7535F8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C96-454B-B071-B55D7535F8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C96-454B-B071-B55D7535F8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C96-454B-B071-B55D7535F8D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C96-454B-B071-B55D7535F8D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C96-454B-B071-B55D7535F8D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C96-454B-B071-B55D7535F8D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C96-454B-B071-B55D7535F8D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C96-454B-B071-B55D7535F8D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FC96-454B-B071-B55D7535F8D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C96-454B-B071-B55D7535F8D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C96-454B-B071-B55D7535F8D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C96-454B-B071-B55D7535F8D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C96-454B-B071-B55D7535F8D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C96-454B-B071-B55D7535F8D2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C96-454B-B071-B55D7535F8D2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C96-454B-B071-B55D7535F8D2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C96-454B-B071-B55D7535F8D2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C96-454B-B071-B55D7535F8D2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C96-454B-B071-B55D7535F8D2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C96-454B-B071-B55D7535F8D2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C96-454B-B071-B55D7535F8D2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C96-454B-B071-B55D7535F8D2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C96-454B-B071-B55D7535F8D2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2C2-42BA-974F-66FD66375BD7}"/>
              </c:ext>
            </c:extLst>
          </c:dPt>
          <c:dLbls>
            <c:dLbl>
              <c:idx val="0"/>
              <c:layout>
                <c:manualLayout>
                  <c:x val="-0.20150592714372242"/>
                  <c:y val="2.67105117653464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96-454B-B071-B55D7535F8D2}"/>
                </c:ext>
              </c:extLst>
            </c:dLbl>
            <c:dLbl>
              <c:idx val="1"/>
              <c:layout>
                <c:manualLayout>
                  <c:x val="-7.2738023131723978E-2"/>
                  <c:y val="-1.51223174907371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96-454B-B071-B55D7535F8D2}"/>
                </c:ext>
              </c:extLst>
            </c:dLbl>
            <c:dLbl>
              <c:idx val="2"/>
              <c:layout>
                <c:manualLayout>
                  <c:x val="8.6802688125522665E-2"/>
                  <c:y val="-1.08565262448665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96-454B-B071-B55D7535F8D2}"/>
                </c:ext>
              </c:extLst>
            </c:dLbl>
            <c:dLbl>
              <c:idx val="3"/>
              <c:layout>
                <c:manualLayout>
                  <c:x val="8.3367655966081158E-2"/>
                  <c:y val="1.50708129089333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96-454B-B071-B55D7535F8D2}"/>
                </c:ext>
              </c:extLst>
            </c:dLbl>
            <c:dLbl>
              <c:idx val="4"/>
              <c:layout>
                <c:manualLayout>
                  <c:x val="7.1804909001759287E-2"/>
                  <c:y val="5.12965436890981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96-454B-B071-B55D7535F8D2}"/>
                </c:ext>
              </c:extLst>
            </c:dLbl>
            <c:dLbl>
              <c:idx val="5"/>
              <c:layout>
                <c:manualLayout>
                  <c:x val="-0.20464693836347381"/>
                  <c:y val="0.1419717064797645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96-454B-B071-B55D7535F8D2}"/>
                </c:ext>
              </c:extLst>
            </c:dLbl>
            <c:dLbl>
              <c:idx val="7"/>
              <c:layout>
                <c:manualLayout>
                  <c:x val="-2.6701277724900043E-3"/>
                  <c:y val="2.02946567026059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96-454B-B071-B55D7535F8D2}"/>
                </c:ext>
              </c:extLst>
            </c:dLbl>
            <c:dLbl>
              <c:idx val="13"/>
              <c:layout>
                <c:manualLayout>
                  <c:x val="-0.10129018488073606"/>
                  <c:y val="-0.2612896444315552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96-454B-B071-B55D7535F8D2}"/>
                </c:ext>
              </c:extLst>
            </c:dLbl>
            <c:dLbl>
              <c:idx val="22"/>
              <c:layout>
                <c:manualLayout>
                  <c:x val="-4.6597444550200456E-2"/>
                  <c:y val="0.1966246320830792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C96-454B-B071-B55D7535F8D2}"/>
                </c:ext>
              </c:extLst>
            </c:dLbl>
            <c:dLbl>
              <c:idx val="26"/>
              <c:layout>
                <c:manualLayout>
                  <c:x val="-3.2711718727466761E-2"/>
                  <c:y val="0.146893423723313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C96-454B-B071-B55D7535F8D2}"/>
                </c:ext>
              </c:extLst>
            </c:dLbl>
            <c:dLbl>
              <c:idx val="29"/>
              <c:layout>
                <c:manualLayout>
                  <c:x val="-6.8858238873986899E-2"/>
                  <c:y val="5.41183551725663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C96-454B-B071-B55D7535F8D2}"/>
                </c:ext>
              </c:extLst>
            </c:dLbl>
            <c:dLbl>
              <c:idx val="32"/>
              <c:layout>
                <c:manualLayout>
                  <c:x val="-4.3353580802399726E-2"/>
                  <c:y val="4.8574038425447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C96-454B-B071-B55D7535F8D2}"/>
                </c:ext>
              </c:extLst>
            </c:dLbl>
            <c:dLbl>
              <c:idx val="36"/>
              <c:layout>
                <c:manualLayout>
                  <c:x val="6.960260736638689E-2"/>
                  <c:y val="0.13606711013345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C96-454B-B071-B55D7535F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'Export destin -Uitvoer bestem.'!$A$57:$A$94</c:f>
              <c:strCache>
                <c:ptCount val="38"/>
                <c:pt idx="0">
                  <c:v>Lesotho</c:v>
                </c:pt>
                <c:pt idx="1">
                  <c:v>Mozambique</c:v>
                </c:pt>
                <c:pt idx="2">
                  <c:v>Eswatini (Swaziland)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China</c:v>
                </c:pt>
                <c:pt idx="8">
                  <c:v>Angola</c:v>
                </c:pt>
                <c:pt idx="9">
                  <c:v>Egipte</c:v>
                </c:pt>
                <c:pt idx="10">
                  <c:v>Kuwait</c:v>
                </c:pt>
                <c:pt idx="11">
                  <c:v>Cameroon</c:v>
                </c:pt>
                <c:pt idx="12">
                  <c:v>Yemen</c:v>
                </c:pt>
                <c:pt idx="13">
                  <c:v>Ghana</c:v>
                </c:pt>
                <c:pt idx="14">
                  <c:v>North Korea</c:v>
                </c:pt>
                <c:pt idx="15">
                  <c:v>South Korea</c:v>
                </c:pt>
                <c:pt idx="16">
                  <c:v>Korea, Rep of</c:v>
                </c:pt>
                <c:pt idx="17">
                  <c:v>Korea, Dem Peoples Rep</c:v>
                </c:pt>
                <c:pt idx="18">
                  <c:v>Malaysia</c:v>
                </c:pt>
                <c:pt idx="19">
                  <c:v>Mauritius</c:v>
                </c:pt>
                <c:pt idx="20">
                  <c:v>Madagaskar</c:v>
                </c:pt>
                <c:pt idx="21">
                  <c:v>Nigeria</c:v>
                </c:pt>
                <c:pt idx="22">
                  <c:v>Malawi</c:v>
                </c:pt>
                <c:pt idx="23">
                  <c:v>Palau</c:v>
                </c:pt>
                <c:pt idx="24">
                  <c:v>Portugal</c:v>
                </c:pt>
                <c:pt idx="25">
                  <c:v>Qatar</c:v>
                </c:pt>
                <c:pt idx="26">
                  <c:v>Saudi Arabia</c:v>
                </c:pt>
                <c:pt idx="27">
                  <c:v>Senegal</c:v>
                </c:pt>
                <c:pt idx="28">
                  <c:v>Tanzania</c:v>
                </c:pt>
                <c:pt idx="29">
                  <c:v>Zambia</c:v>
                </c:pt>
                <c:pt idx="30">
                  <c:v>Seychelles</c:v>
                </c:pt>
                <c:pt idx="31">
                  <c:v>Spain</c:v>
                </c:pt>
                <c:pt idx="32">
                  <c:v>Zimbabwe</c:v>
                </c:pt>
                <c:pt idx="33">
                  <c:v>Iran</c:v>
                </c:pt>
                <c:pt idx="34">
                  <c:v>Italy</c:v>
                </c:pt>
                <c:pt idx="35">
                  <c:v>Indonesia</c:v>
                </c:pt>
                <c:pt idx="36">
                  <c:v>Vietnam</c:v>
                </c:pt>
                <c:pt idx="37">
                  <c:v>Central African Republic</c:v>
                </c:pt>
              </c:strCache>
            </c:strRef>
          </c:cat>
          <c:val>
            <c:numRef>
              <c:f>'Export destin -Uitvoer bestem.'!$N$57:$N$94</c:f>
              <c:numCache>
                <c:formatCode>_ * #\ ##0_ ;_ * \-#\ ##0_ ;_ * "-"??_ ;_ @_ </c:formatCode>
                <c:ptCount val="38"/>
                <c:pt idx="0">
                  <c:v>1162</c:v>
                </c:pt>
                <c:pt idx="1">
                  <c:v>63986</c:v>
                </c:pt>
                <c:pt idx="2">
                  <c:v>83625</c:v>
                </c:pt>
                <c:pt idx="3">
                  <c:v>60836</c:v>
                </c:pt>
                <c:pt idx="4">
                  <c:v>45667</c:v>
                </c:pt>
                <c:pt idx="5">
                  <c:v>463086</c:v>
                </c:pt>
                <c:pt idx="6" formatCode="#,##0">
                  <c:v>468303</c:v>
                </c:pt>
                <c:pt idx="7" formatCode="#,##0">
                  <c:v>111513</c:v>
                </c:pt>
                <c:pt idx="13">
                  <c:v>1969</c:v>
                </c:pt>
                <c:pt idx="16">
                  <c:v>492252</c:v>
                </c:pt>
                <c:pt idx="22">
                  <c:v>1145</c:v>
                </c:pt>
                <c:pt idx="26">
                  <c:v>4720</c:v>
                </c:pt>
                <c:pt idx="29">
                  <c:v>72</c:v>
                </c:pt>
                <c:pt idx="32">
                  <c:v>189462</c:v>
                </c:pt>
                <c:pt idx="36">
                  <c:v>179330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FC96-454B-B071-B55D7535F8D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957168815436534"/>
          <c:y val="0.2297897632535412"/>
          <c:w val="0.27514233797698362"/>
          <c:h val="0.75417817261820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 White Maize Exports for 2022/23 (ton, %)</a:t>
            </a:r>
          </a:p>
        </c:rich>
      </c:tx>
      <c:layout>
        <c:manualLayout>
          <c:xMode val="edge"/>
          <c:yMode val="edge"/>
          <c:x val="0.28764181088596946"/>
          <c:y val="1.0091285759091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295156199775674"/>
          <c:y val="0.17128780457774212"/>
          <c:w val="0.45925961318168285"/>
          <c:h val="0.70519707990601233"/>
        </c:manualLayout>
      </c:layout>
      <c:pieChart>
        <c:varyColors val="1"/>
        <c:ser>
          <c:idx val="2"/>
          <c:order val="0"/>
          <c:tx>
            <c:strRef>
              <c:f>'Export destin -Uitvoer bestem.'!$N$8</c:f>
              <c:strCache>
                <c:ptCount val="1"/>
                <c:pt idx="0">
                  <c:v>2023/24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A06-4987-A069-6E8F218A3E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06-4987-A069-6E8F218A3E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06-4987-A069-6E8F218A3E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06-4987-A069-6E8F218A3E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A06-4987-A069-6E8F218A3E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06-4987-A069-6E8F218A3E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A06-4987-A069-6E8F218A3EE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06-4987-A069-6E8F218A3EE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A06-4987-A069-6E8F218A3EE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06-4987-A069-6E8F218A3EE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A06-4987-A069-6E8F218A3EE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A06-4987-A069-6E8F218A3EE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A06-4987-A069-6E8F218A3EE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A06-4987-A069-6E8F218A3EE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A06-4987-A069-6E8F218A3EE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A06-4987-A069-6E8F218A3EE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A06-4987-A069-6E8F218A3EE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A06-4987-A069-6E8F218A3EE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A06-4987-A069-6E8F218A3EE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A06-4987-A069-6E8F218A3EE0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A06-4987-A069-6E8F218A3EE0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A06-4987-A069-6E8F218A3EE0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A06-4987-A069-6E8F218A3EE0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A06-4987-A069-6E8F218A3EE0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A06-4987-A069-6E8F218A3EE0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A06-4987-A069-6E8F218A3EE0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CA06-4987-A069-6E8F218A3EE0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A06-4987-A069-6E8F218A3EE0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CA06-4987-A069-6E8F218A3EE0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A06-4987-A069-6E8F218A3EE0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CA06-4987-A069-6E8F218A3EE0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A06-4987-A069-6E8F218A3EE0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CA06-4987-A069-6E8F218A3EE0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A06-4987-A069-6E8F218A3EE0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CA06-4987-A069-6E8F218A3EE0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A06-4987-A069-6E8F218A3EE0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CA06-4987-A069-6E8F218A3EE0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A06-4987-A069-6E8F218A3EE0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CA06-4987-A069-6E8F218A3EE0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A7D3-437B-9B8A-2138CFE556CC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A7D3-437B-9B8A-2138CFE556CC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A7D3-437B-9B8A-2138CFE556CC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A7D3-437B-9B8A-2138CFE556CC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A7D3-437B-9B8A-2138CFE556CC}"/>
              </c:ext>
            </c:extLst>
          </c:dPt>
          <c:dLbls>
            <c:dLbl>
              <c:idx val="0"/>
              <c:layout>
                <c:manualLayout>
                  <c:x val="0.14764526662150662"/>
                  <c:y val="-2.59538284970472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06-4987-A069-6E8F218A3EE0}"/>
                </c:ext>
              </c:extLst>
            </c:dLbl>
            <c:dLbl>
              <c:idx val="1"/>
              <c:layout>
                <c:manualLayout>
                  <c:x val="5.4485098638197844E-2"/>
                  <c:y val="4.82073427580540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06-4987-A069-6E8F218A3EE0}"/>
                </c:ext>
              </c:extLst>
            </c:dLbl>
            <c:dLbl>
              <c:idx val="2"/>
              <c:layout>
                <c:manualLayout>
                  <c:x val="5.698714702497016E-2"/>
                  <c:y val="4.66896029387764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06-4987-A069-6E8F218A3EE0}"/>
                </c:ext>
              </c:extLst>
            </c:dLbl>
            <c:dLbl>
              <c:idx val="3"/>
              <c:layout>
                <c:manualLayout>
                  <c:x val="4.0942512955111379E-2"/>
                  <c:y val="2.344046616814330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06-4987-A069-6E8F218A3EE0}"/>
                </c:ext>
              </c:extLst>
            </c:dLbl>
            <c:dLbl>
              <c:idx val="4"/>
              <c:layout>
                <c:manualLayout>
                  <c:x val="4.4944828050339863E-2"/>
                  <c:y val="4.02486010003466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06-4987-A069-6E8F218A3EE0}"/>
                </c:ext>
              </c:extLst>
            </c:dLbl>
            <c:dLbl>
              <c:idx val="5"/>
              <c:layout>
                <c:manualLayout>
                  <c:x val="0.23814949507897862"/>
                  <c:y val="2.40214110665564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06-4987-A069-6E8F218A3EE0}"/>
                </c:ext>
              </c:extLst>
            </c:dLbl>
            <c:dLbl>
              <c:idx val="6"/>
              <c:layout>
                <c:manualLayout>
                  <c:x val="-4.367873388419697E-2"/>
                  <c:y val="-3.8325457783903093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06-4987-A069-6E8F218A3EE0}"/>
                </c:ext>
              </c:extLst>
            </c:dLbl>
            <c:dLbl>
              <c:idx val="7"/>
              <c:layout>
                <c:manualLayout>
                  <c:x val="-0.11721482633046203"/>
                  <c:y val="-3.13677757289095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06-4987-A069-6E8F218A3EE0}"/>
                </c:ext>
              </c:extLst>
            </c:dLbl>
            <c:dLbl>
              <c:idx val="13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06-4987-A069-6E8F218A3EE0}"/>
                </c:ext>
              </c:extLst>
            </c:dLbl>
            <c:dLbl>
              <c:idx val="15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06-4987-A069-6E8F218A3EE0}"/>
                </c:ext>
              </c:extLst>
            </c:dLbl>
            <c:dLbl>
              <c:idx val="16"/>
              <c:layout>
                <c:manualLayout>
                  <c:x val="-6.0170940170940171E-2"/>
                  <c:y val="3.77952755905511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06-4987-A069-6E8F218A3EE0}"/>
                </c:ext>
              </c:extLst>
            </c:dLbl>
            <c:dLbl>
              <c:idx val="17"/>
              <c:layout>
                <c:manualLayout>
                  <c:x val="-2.7406646111682094E-2"/>
                  <c:y val="-2.10637177461821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06-4987-A069-6E8F218A3EE0}"/>
                </c:ext>
              </c:extLst>
            </c:dLbl>
            <c:dLbl>
              <c:idx val="18"/>
              <c:layout>
                <c:manualLayout>
                  <c:x val="-0.10365326379877104"/>
                  <c:y val="-2.08517952428013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06-4987-A069-6E8F218A3EE0}"/>
                </c:ext>
              </c:extLst>
            </c:dLbl>
            <c:dLbl>
              <c:idx val="21"/>
              <c:layout>
                <c:manualLayout>
                  <c:x val="-3.9739636861939022E-2"/>
                  <c:y val="2.10637177461821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06-4987-A069-6E8F218A3EE0}"/>
                </c:ext>
              </c:extLst>
            </c:dLbl>
            <c:dLbl>
              <c:idx val="22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06-4987-A069-6E8F218A3EE0}"/>
                </c:ext>
              </c:extLst>
            </c:dLbl>
            <c:dLbl>
              <c:idx val="23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06-4987-A069-6E8F218A3EE0}"/>
                </c:ext>
              </c:extLst>
            </c:dLbl>
            <c:dLbl>
              <c:idx val="26"/>
              <c:layout>
                <c:manualLayout>
                  <c:x val="-2.27876976916347E-2"/>
                  <c:y val="-4.197675762227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06-4987-A069-6E8F218A3EE0}"/>
                </c:ext>
              </c:extLst>
            </c:dLbl>
            <c:dLbl>
              <c:idx val="27"/>
              <c:layout>
                <c:manualLayout>
                  <c:x val="-0.12170940170940171"/>
                  <c:y val="1.46981627296587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06-4987-A069-6E8F218A3EE0}"/>
                </c:ext>
              </c:extLst>
            </c:dLbl>
            <c:dLbl>
              <c:idx val="29"/>
              <c:layout>
                <c:manualLayout>
                  <c:x val="-4.2480301473107225E-2"/>
                  <c:y val="3.159557661927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06-4987-A069-6E8F218A3EE0}"/>
                </c:ext>
              </c:extLst>
            </c:dLbl>
            <c:dLbl>
              <c:idx val="31"/>
              <c:layout>
                <c:manualLayout>
                  <c:x val="-0.10675657850461005"/>
                  <c:y val="-2.33389458393172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A06-4987-A069-6E8F218A3EE0}"/>
                </c:ext>
              </c:extLst>
            </c:dLbl>
            <c:dLbl>
              <c:idx val="33"/>
              <c:layout>
                <c:manualLayout>
                  <c:x val="-5.2072627612196005E-2"/>
                  <c:y val="-4.21274354923643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A06-4987-A069-6E8F218A3EE0}"/>
                </c:ext>
              </c:extLst>
            </c:dLbl>
            <c:dLbl>
              <c:idx val="34"/>
              <c:layout>
                <c:manualLayout>
                  <c:x val="-0.17788028804091796"/>
                  <c:y val="-4.05059210118420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A06-4987-A069-6E8F218A3EE0}"/>
                </c:ext>
              </c:extLst>
            </c:dLbl>
            <c:dLbl>
              <c:idx val="35"/>
              <c:layout>
                <c:manualLayout>
                  <c:x val="7.3997944501541568E-2"/>
                  <c:y val="-5.05529225908372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A06-4987-A069-6E8F218A3EE0}"/>
                </c:ext>
              </c:extLst>
            </c:dLbl>
            <c:dLbl>
              <c:idx val="36"/>
              <c:layout>
                <c:manualLayout>
                  <c:x val="-0.14749793548208093"/>
                  <c:y val="-5.24440370495836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A06-4987-A069-6E8F218A3EE0}"/>
                </c:ext>
              </c:extLst>
            </c:dLbl>
            <c:dLbl>
              <c:idx val="38"/>
              <c:layout>
                <c:manualLayout>
                  <c:x val="2.7315408331479146E-3"/>
                  <c:y val="-4.1830068803875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A06-4987-A069-6E8F218A3E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'Export destin -Uitvoer bestem.'!$A$9:$A$52</c:f>
              <c:strCache>
                <c:ptCount val="44"/>
                <c:pt idx="0">
                  <c:v>Eswatini (Swaziland)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Djibouti</c:v>
                </c:pt>
                <c:pt idx="16">
                  <c:v>Ethiopia</c:v>
                </c:pt>
                <c:pt idx="17">
                  <c:v>Ghana</c:v>
                </c:pt>
                <c:pt idx="18">
                  <c:v>Kenya</c:v>
                </c:pt>
                <c:pt idx="19">
                  <c:v>Korea (North)</c:v>
                </c:pt>
                <c:pt idx="20">
                  <c:v>Iran</c:v>
                </c:pt>
                <c:pt idx="21">
                  <c:v>Madagascar </c:v>
                </c:pt>
                <c:pt idx="22">
                  <c:v>Malawië</c:v>
                </c:pt>
                <c:pt idx="23">
                  <c:v>Mali</c:v>
                </c:pt>
                <c:pt idx="24">
                  <c:v>Portugal</c:v>
                </c:pt>
                <c:pt idx="25">
                  <c:v>Nigeria</c:v>
                </c:pt>
                <c:pt idx="26">
                  <c:v>Italy</c:v>
                </c:pt>
                <c:pt idx="27">
                  <c:v>Somalia</c:v>
                </c:pt>
                <c:pt idx="28">
                  <c:v>Sudan</c:v>
                </c:pt>
                <c:pt idx="29">
                  <c:v>Mauritius</c:v>
                </c:pt>
                <c:pt idx="30">
                  <c:v>Qatar</c:v>
                </c:pt>
                <c:pt idx="31">
                  <c:v>Senegal</c:v>
                </c:pt>
                <c:pt idx="32">
                  <c:v>Spain</c:v>
                </c:pt>
                <c:pt idx="33">
                  <c:v>Singapore</c:v>
                </c:pt>
                <c:pt idx="34">
                  <c:v>Tanzania</c:v>
                </c:pt>
                <c:pt idx="35">
                  <c:v>Albania</c:v>
                </c:pt>
                <c:pt idx="36">
                  <c:v>Angola</c:v>
                </c:pt>
                <c:pt idx="37">
                  <c:v>Honduras</c:v>
                </c:pt>
                <c:pt idx="38">
                  <c:v>Guatemala</c:v>
                </c:pt>
                <c:pt idx="39">
                  <c:v>Malaysia</c:v>
                </c:pt>
                <c:pt idx="40">
                  <c:v>Togo</c:v>
                </c:pt>
                <c:pt idx="41">
                  <c:v>Uganda</c:v>
                </c:pt>
                <c:pt idx="42">
                  <c:v>Venezuela</c:v>
                </c:pt>
                <c:pt idx="43">
                  <c:v>Zambia</c:v>
                </c:pt>
              </c:strCache>
            </c:strRef>
          </c:cat>
          <c:val>
            <c:numRef>
              <c:f>'Export destin -Uitvoer bestem.'!$N$9:$N$52</c:f>
              <c:numCache>
                <c:formatCode>_ * #\ ##0_ ;_ * \-#\ ##0_ ;_ * "-"??_ ;_ @_ </c:formatCode>
                <c:ptCount val="44"/>
                <c:pt idx="0">
                  <c:v>60394</c:v>
                </c:pt>
                <c:pt idx="1">
                  <c:v>65315</c:v>
                </c:pt>
                <c:pt idx="2">
                  <c:v>137456</c:v>
                </c:pt>
                <c:pt idx="3">
                  <c:v>439330</c:v>
                </c:pt>
                <c:pt idx="4">
                  <c:v>176127</c:v>
                </c:pt>
                <c:pt idx="5">
                  <c:v>256439</c:v>
                </c:pt>
                <c:pt idx="17">
                  <c:v>4018</c:v>
                </c:pt>
                <c:pt idx="18">
                  <c:v>67792</c:v>
                </c:pt>
                <c:pt idx="36">
                  <c:v>105</c:v>
                </c:pt>
                <c:pt idx="38">
                  <c:v>42770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CA06-4987-A069-6E8F218A3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325244235633815E-4"/>
          <c:y val="0.2588210591323144"/>
          <c:w val="0.28085669829043458"/>
          <c:h val="0.71764952910297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Cumulative Exports of Yellow Maize for 2021/22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2063611563405068E-2"/>
          <c:y val="5.9579347675006111E-2"/>
          <c:w val="0.89289734763054118"/>
          <c:h val="0.6556097560975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2023/24 Bemarkingseisoen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'Weekliks-Weekly'!$B$9:$B$61</c:f>
              <c:numCache>
                <c:formatCode>d\-mmm\-yy</c:formatCode>
                <c:ptCount val="53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'Weekliks-Weekly'!$L$9:$L$60</c:f>
              <c:numCache>
                <c:formatCode>#\ ##0.000</c:formatCode>
                <c:ptCount val="52"/>
                <c:pt idx="0">
                  <c:v>36.905000000000001</c:v>
                </c:pt>
                <c:pt idx="1">
                  <c:v>33.787999999999997</c:v>
                </c:pt>
                <c:pt idx="2">
                  <c:v>40.933</c:v>
                </c:pt>
                <c:pt idx="3">
                  <c:v>98.013999999999996</c:v>
                </c:pt>
                <c:pt idx="4">
                  <c:v>34.095999999999997</c:v>
                </c:pt>
                <c:pt idx="5">
                  <c:v>123.376</c:v>
                </c:pt>
                <c:pt idx="6">
                  <c:v>82.921999999999997</c:v>
                </c:pt>
                <c:pt idx="7">
                  <c:v>113.95</c:v>
                </c:pt>
                <c:pt idx="8">
                  <c:v>80.28</c:v>
                </c:pt>
                <c:pt idx="9">
                  <c:v>90.853999999999999</c:v>
                </c:pt>
                <c:pt idx="10">
                  <c:v>118.018</c:v>
                </c:pt>
                <c:pt idx="11">
                  <c:v>87.302000000000007</c:v>
                </c:pt>
                <c:pt idx="12">
                  <c:v>146.792</c:v>
                </c:pt>
                <c:pt idx="13">
                  <c:v>100.539</c:v>
                </c:pt>
                <c:pt idx="14">
                  <c:v>56.576000000000001</c:v>
                </c:pt>
                <c:pt idx="15">
                  <c:v>57.69</c:v>
                </c:pt>
                <c:pt idx="16">
                  <c:v>65.554000000000002</c:v>
                </c:pt>
                <c:pt idx="17">
                  <c:v>61.106999999999999</c:v>
                </c:pt>
                <c:pt idx="18">
                  <c:v>32.146000000000001</c:v>
                </c:pt>
                <c:pt idx="19">
                  <c:v>58.24</c:v>
                </c:pt>
                <c:pt idx="20">
                  <c:v>6.4219999999999997</c:v>
                </c:pt>
                <c:pt idx="21">
                  <c:v>9.5190000000000001</c:v>
                </c:pt>
                <c:pt idx="22">
                  <c:v>64.091999999999999</c:v>
                </c:pt>
                <c:pt idx="23">
                  <c:v>64.778999999999996</c:v>
                </c:pt>
                <c:pt idx="24">
                  <c:v>31.745000000000001</c:v>
                </c:pt>
                <c:pt idx="25">
                  <c:v>40.643999999999998</c:v>
                </c:pt>
                <c:pt idx="26">
                  <c:v>8.8279999999999994</c:v>
                </c:pt>
                <c:pt idx="27">
                  <c:v>66.953999999999994</c:v>
                </c:pt>
                <c:pt idx="28">
                  <c:v>11.026</c:v>
                </c:pt>
                <c:pt idx="29">
                  <c:v>16.574999999999999</c:v>
                </c:pt>
                <c:pt idx="30">
                  <c:v>13.407</c:v>
                </c:pt>
                <c:pt idx="31">
                  <c:v>30.013000000000002</c:v>
                </c:pt>
                <c:pt idx="32">
                  <c:v>28.710999999999999</c:v>
                </c:pt>
                <c:pt idx="33">
                  <c:v>35.392000000000003</c:v>
                </c:pt>
                <c:pt idx="34">
                  <c:v>4.5330000000000004</c:v>
                </c:pt>
                <c:pt idx="35">
                  <c:v>9.7140000000000004</c:v>
                </c:pt>
                <c:pt idx="36">
                  <c:v>14.234999999999999</c:v>
                </c:pt>
                <c:pt idx="37">
                  <c:v>10.865</c:v>
                </c:pt>
                <c:pt idx="38">
                  <c:v>16.003</c:v>
                </c:pt>
                <c:pt idx="39">
                  <c:v>11.824999999999999</c:v>
                </c:pt>
                <c:pt idx="40">
                  <c:v>13.095000000000001</c:v>
                </c:pt>
                <c:pt idx="41">
                  <c:v>12.663</c:v>
                </c:pt>
                <c:pt idx="42">
                  <c:v>15.212999999999999</c:v>
                </c:pt>
                <c:pt idx="43">
                  <c:v>11.584</c:v>
                </c:pt>
                <c:pt idx="44">
                  <c:v>14.439</c:v>
                </c:pt>
                <c:pt idx="45">
                  <c:v>12.907</c:v>
                </c:pt>
                <c:pt idx="46">
                  <c:v>12.516999999999999</c:v>
                </c:pt>
                <c:pt idx="47">
                  <c:v>8.5579999999999998</c:v>
                </c:pt>
                <c:pt idx="48">
                  <c:v>10.582000000000001</c:v>
                </c:pt>
                <c:pt idx="49">
                  <c:v>12.662000000000001</c:v>
                </c:pt>
                <c:pt idx="50">
                  <c:v>13.307</c:v>
                </c:pt>
                <c:pt idx="51">
                  <c:v>15.237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0-4727-AFF0-9FF3BFF0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63832367"/>
        <c:axId val="1"/>
      </c:barChart>
      <c:lineChart>
        <c:grouping val="standard"/>
        <c:varyColors val="0"/>
        <c:ser>
          <c:idx val="0"/>
          <c:order val="0"/>
          <c:tx>
            <c:strRef>
              <c:f>'Vorige - Prev Weekliks-Weekly'!$C$1:$T$1</c:f>
              <c:strCache>
                <c:ptCount val="1"/>
                <c:pt idx="0">
                  <c:v>SAGIS: WEEKLIKSE INVOERE EN UITVOERE 2022/23 Bemarkingseisoen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65000"/>
                </a:schemeClr>
              </a:solidFill>
            </c:spPr>
          </c:marker>
          <c:cat>
            <c:numRef>
              <c:f>'Vorige - Prev Weekliks-Weekly'!$B$9:$B$61</c:f>
              <c:numCache>
                <c:formatCode>d\-mmm\-yy</c:formatCode>
                <c:ptCount val="53"/>
                <c:pt idx="0">
                  <c:v>44687</c:v>
                </c:pt>
                <c:pt idx="1">
                  <c:v>44694</c:v>
                </c:pt>
                <c:pt idx="2">
                  <c:v>44701</c:v>
                </c:pt>
                <c:pt idx="3">
                  <c:v>44708</c:v>
                </c:pt>
                <c:pt idx="4">
                  <c:v>44715</c:v>
                </c:pt>
                <c:pt idx="5">
                  <c:v>44722</c:v>
                </c:pt>
                <c:pt idx="6">
                  <c:v>44729</c:v>
                </c:pt>
                <c:pt idx="7">
                  <c:v>44736</c:v>
                </c:pt>
                <c:pt idx="8">
                  <c:v>44743</c:v>
                </c:pt>
                <c:pt idx="9">
                  <c:v>44750</c:v>
                </c:pt>
                <c:pt idx="10">
                  <c:v>44757</c:v>
                </c:pt>
                <c:pt idx="11">
                  <c:v>44764</c:v>
                </c:pt>
                <c:pt idx="12">
                  <c:v>44771</c:v>
                </c:pt>
                <c:pt idx="13">
                  <c:v>44778</c:v>
                </c:pt>
                <c:pt idx="14">
                  <c:v>44785</c:v>
                </c:pt>
                <c:pt idx="15">
                  <c:v>44792</c:v>
                </c:pt>
                <c:pt idx="16">
                  <c:v>44799</c:v>
                </c:pt>
                <c:pt idx="17">
                  <c:v>44806</c:v>
                </c:pt>
                <c:pt idx="18">
                  <c:v>44813</c:v>
                </c:pt>
                <c:pt idx="19">
                  <c:v>44820</c:v>
                </c:pt>
                <c:pt idx="20">
                  <c:v>44827</c:v>
                </c:pt>
                <c:pt idx="21">
                  <c:v>44834</c:v>
                </c:pt>
                <c:pt idx="22">
                  <c:v>44841</c:v>
                </c:pt>
                <c:pt idx="23">
                  <c:v>44848</c:v>
                </c:pt>
                <c:pt idx="24">
                  <c:v>44855</c:v>
                </c:pt>
                <c:pt idx="25">
                  <c:v>44862</c:v>
                </c:pt>
                <c:pt idx="26">
                  <c:v>44869</c:v>
                </c:pt>
                <c:pt idx="27">
                  <c:v>44876</c:v>
                </c:pt>
                <c:pt idx="28">
                  <c:v>44883</c:v>
                </c:pt>
                <c:pt idx="29">
                  <c:v>44890</c:v>
                </c:pt>
                <c:pt idx="30">
                  <c:v>44897</c:v>
                </c:pt>
                <c:pt idx="31">
                  <c:v>44904</c:v>
                </c:pt>
                <c:pt idx="32">
                  <c:v>44911</c:v>
                </c:pt>
                <c:pt idx="33">
                  <c:v>44918</c:v>
                </c:pt>
                <c:pt idx="34">
                  <c:v>44925</c:v>
                </c:pt>
                <c:pt idx="35">
                  <c:v>44932</c:v>
                </c:pt>
                <c:pt idx="36">
                  <c:v>44939</c:v>
                </c:pt>
                <c:pt idx="37">
                  <c:v>44946</c:v>
                </c:pt>
                <c:pt idx="38">
                  <c:v>44953</c:v>
                </c:pt>
                <c:pt idx="39">
                  <c:v>44960</c:v>
                </c:pt>
                <c:pt idx="40">
                  <c:v>44967</c:v>
                </c:pt>
                <c:pt idx="41">
                  <c:v>44974</c:v>
                </c:pt>
                <c:pt idx="42">
                  <c:v>44981</c:v>
                </c:pt>
                <c:pt idx="43">
                  <c:v>44988</c:v>
                </c:pt>
                <c:pt idx="44">
                  <c:v>44995</c:v>
                </c:pt>
                <c:pt idx="45">
                  <c:v>45002</c:v>
                </c:pt>
                <c:pt idx="46">
                  <c:v>45009</c:v>
                </c:pt>
                <c:pt idx="47">
                  <c:v>45016</c:v>
                </c:pt>
                <c:pt idx="48">
                  <c:v>45023</c:v>
                </c:pt>
                <c:pt idx="49">
                  <c:v>45030</c:v>
                </c:pt>
                <c:pt idx="50">
                  <c:v>45037</c:v>
                </c:pt>
                <c:pt idx="51">
                  <c:v>45044</c:v>
                </c:pt>
              </c:numCache>
            </c:numRef>
          </c:cat>
          <c:val>
            <c:numRef>
              <c:f>'Vorige - Prev Weekliks-Weekly'!$L$9:$L$60</c:f>
              <c:numCache>
                <c:formatCode>General</c:formatCode>
                <c:ptCount val="52"/>
                <c:pt idx="0">
                  <c:v>50925</c:v>
                </c:pt>
                <c:pt idx="1">
                  <c:v>31191</c:v>
                </c:pt>
                <c:pt idx="2">
                  <c:v>15471</c:v>
                </c:pt>
                <c:pt idx="3">
                  <c:v>100551</c:v>
                </c:pt>
                <c:pt idx="4">
                  <c:v>2818</c:v>
                </c:pt>
                <c:pt idx="5">
                  <c:v>127772</c:v>
                </c:pt>
                <c:pt idx="6">
                  <c:v>93715</c:v>
                </c:pt>
                <c:pt idx="7">
                  <c:v>131878</c:v>
                </c:pt>
                <c:pt idx="8">
                  <c:v>66118</c:v>
                </c:pt>
                <c:pt idx="9">
                  <c:v>117006</c:v>
                </c:pt>
                <c:pt idx="10">
                  <c:v>76739</c:v>
                </c:pt>
                <c:pt idx="11">
                  <c:v>122950</c:v>
                </c:pt>
                <c:pt idx="12">
                  <c:v>91575</c:v>
                </c:pt>
                <c:pt idx="13">
                  <c:v>34300</c:v>
                </c:pt>
                <c:pt idx="14">
                  <c:v>49398</c:v>
                </c:pt>
                <c:pt idx="15">
                  <c:v>114680</c:v>
                </c:pt>
                <c:pt idx="16">
                  <c:v>8064</c:v>
                </c:pt>
                <c:pt idx="17">
                  <c:v>3612</c:v>
                </c:pt>
                <c:pt idx="18">
                  <c:v>58719</c:v>
                </c:pt>
                <c:pt idx="19">
                  <c:v>20999</c:v>
                </c:pt>
                <c:pt idx="20">
                  <c:v>43185</c:v>
                </c:pt>
                <c:pt idx="21">
                  <c:v>81974</c:v>
                </c:pt>
                <c:pt idx="22">
                  <c:v>51576</c:v>
                </c:pt>
                <c:pt idx="23">
                  <c:v>35669</c:v>
                </c:pt>
                <c:pt idx="24">
                  <c:v>58769</c:v>
                </c:pt>
                <c:pt idx="25">
                  <c:v>56120</c:v>
                </c:pt>
                <c:pt idx="26">
                  <c:v>56353</c:v>
                </c:pt>
                <c:pt idx="27">
                  <c:v>7239</c:v>
                </c:pt>
                <c:pt idx="28">
                  <c:v>4810</c:v>
                </c:pt>
                <c:pt idx="29">
                  <c:v>9549</c:v>
                </c:pt>
                <c:pt idx="30">
                  <c:v>5596</c:v>
                </c:pt>
                <c:pt idx="31">
                  <c:v>5015</c:v>
                </c:pt>
                <c:pt idx="32">
                  <c:v>4857</c:v>
                </c:pt>
                <c:pt idx="33">
                  <c:v>5202</c:v>
                </c:pt>
                <c:pt idx="34">
                  <c:v>3588</c:v>
                </c:pt>
                <c:pt idx="35">
                  <c:v>4305</c:v>
                </c:pt>
                <c:pt idx="36">
                  <c:v>6400</c:v>
                </c:pt>
                <c:pt idx="37">
                  <c:v>5704</c:v>
                </c:pt>
                <c:pt idx="38">
                  <c:v>5218</c:v>
                </c:pt>
                <c:pt idx="39">
                  <c:v>5635</c:v>
                </c:pt>
                <c:pt idx="40">
                  <c:v>5853</c:v>
                </c:pt>
                <c:pt idx="41">
                  <c:v>6033</c:v>
                </c:pt>
                <c:pt idx="42">
                  <c:v>53723</c:v>
                </c:pt>
                <c:pt idx="43">
                  <c:v>7114</c:v>
                </c:pt>
                <c:pt idx="44">
                  <c:v>4456</c:v>
                </c:pt>
                <c:pt idx="45">
                  <c:v>4882</c:v>
                </c:pt>
                <c:pt idx="46">
                  <c:v>3089</c:v>
                </c:pt>
                <c:pt idx="47">
                  <c:v>10867</c:v>
                </c:pt>
                <c:pt idx="48">
                  <c:v>79895</c:v>
                </c:pt>
                <c:pt idx="49">
                  <c:v>32099</c:v>
                </c:pt>
                <c:pt idx="50">
                  <c:v>106309</c:v>
                </c:pt>
                <c:pt idx="51">
                  <c:v>63181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0-4727-AFF0-9FF3BFF0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2367"/>
        <c:axId val="1"/>
      </c:lineChart>
      <c:dateAx>
        <c:axId val="1463832367"/>
        <c:scaling>
          <c:orientation val="minMax"/>
          <c:max val="45259"/>
        </c:scaling>
        <c:delete val="0"/>
        <c:axPos val="b"/>
        <c:numFmt formatCode="yyyy/mm/dd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"/>
        <c:minorTimeUnit val="days"/>
      </c:dateAx>
      <c:valAx>
        <c:axId val="1"/>
        <c:scaling>
          <c:orientation val="minMax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tons</a:t>
                </a:r>
              </a:p>
            </c:rich>
          </c:tx>
          <c:overlay val="0"/>
        </c:title>
        <c:numFmt formatCode="#\ ##0.0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2367"/>
        <c:crosses val="max"/>
        <c:crossBetween val="between"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199449041502736E-2"/>
          <c:y val="0.91989846319846635"/>
          <c:w val="0.97292429215659226"/>
          <c:h val="6.8003237644572292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RSA Weeklikse mielie-uitvoere
RSA Weekly maize exports</a:t>
            </a:r>
          </a:p>
        </c:rich>
      </c:tx>
      <c:layout>
        <c:manualLayout>
          <c:xMode val="edge"/>
          <c:yMode val="edge"/>
          <c:x val="0.3526372929412547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9607032057913E-2"/>
          <c:y val="8.6882453151618397E-2"/>
          <c:w val="0.88107549120992756"/>
          <c:h val="0.664559104483665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'Weekliks-Weekly'!$T$6:$T$7</c:f>
              <c:strCache>
                <c:ptCount val="2"/>
                <c:pt idx="0">
                  <c:v>Total / maize</c:v>
                </c:pt>
                <c:pt idx="1">
                  <c:v>Weekliks/Weekly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numRef>
              <c:f>'Weekliks-Weekly'!$B$9:$B$60</c:f>
              <c:numCache>
                <c:formatCode>d\-mmm\-yy</c:formatCode>
                <c:ptCount val="52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'Weekliks-Weekly'!$T$9:$T$60</c:f>
              <c:numCache>
                <c:formatCode>_ * #\ ##0_ ;_ * \-#\ ##0_ ;_ * "-"??_ ;_ @_ </c:formatCode>
                <c:ptCount val="52"/>
                <c:pt idx="0">
                  <c:v>47.052999999999997</c:v>
                </c:pt>
                <c:pt idx="1">
                  <c:v>51.376999999999995</c:v>
                </c:pt>
                <c:pt idx="2">
                  <c:v>51.253</c:v>
                </c:pt>
                <c:pt idx="3">
                  <c:v>110.137</c:v>
                </c:pt>
                <c:pt idx="4">
                  <c:v>45.253999999999998</c:v>
                </c:pt>
                <c:pt idx="5">
                  <c:v>131.45099999999999</c:v>
                </c:pt>
                <c:pt idx="6">
                  <c:v>90.825000000000003</c:v>
                </c:pt>
                <c:pt idx="7">
                  <c:v>130.446</c:v>
                </c:pt>
                <c:pt idx="8">
                  <c:v>102.295</c:v>
                </c:pt>
                <c:pt idx="9">
                  <c:v>99.055999999999997</c:v>
                </c:pt>
                <c:pt idx="10">
                  <c:v>128.11600000000001</c:v>
                </c:pt>
                <c:pt idx="11">
                  <c:v>110.24600000000001</c:v>
                </c:pt>
                <c:pt idx="12">
                  <c:v>158.93600000000001</c:v>
                </c:pt>
                <c:pt idx="13">
                  <c:v>111.032</c:v>
                </c:pt>
                <c:pt idx="14">
                  <c:v>70.947000000000003</c:v>
                </c:pt>
                <c:pt idx="15">
                  <c:v>83.855999999999995</c:v>
                </c:pt>
                <c:pt idx="16">
                  <c:v>95.17</c:v>
                </c:pt>
                <c:pt idx="17">
                  <c:v>72.622</c:v>
                </c:pt>
                <c:pt idx="18">
                  <c:v>65.433999999999997</c:v>
                </c:pt>
                <c:pt idx="19">
                  <c:v>70.718999999999994</c:v>
                </c:pt>
                <c:pt idx="20">
                  <c:v>47.506999999999998</c:v>
                </c:pt>
                <c:pt idx="21">
                  <c:v>27.366</c:v>
                </c:pt>
                <c:pt idx="22">
                  <c:v>79.998999999999995</c:v>
                </c:pt>
                <c:pt idx="23">
                  <c:v>84.828000000000003</c:v>
                </c:pt>
                <c:pt idx="24">
                  <c:v>53.198</c:v>
                </c:pt>
                <c:pt idx="25">
                  <c:v>66.09899999999999</c:v>
                </c:pt>
                <c:pt idx="26">
                  <c:v>27.896999999999998</c:v>
                </c:pt>
                <c:pt idx="27">
                  <c:v>86.321999999999989</c:v>
                </c:pt>
                <c:pt idx="28">
                  <c:v>34.608999999999995</c:v>
                </c:pt>
                <c:pt idx="29">
                  <c:v>46.349000000000004</c:v>
                </c:pt>
                <c:pt idx="30">
                  <c:v>36.674999999999997</c:v>
                </c:pt>
                <c:pt idx="31">
                  <c:v>53.31</c:v>
                </c:pt>
                <c:pt idx="32">
                  <c:v>48.073999999999998</c:v>
                </c:pt>
                <c:pt idx="33">
                  <c:v>56.837000000000003</c:v>
                </c:pt>
                <c:pt idx="34">
                  <c:v>43.186</c:v>
                </c:pt>
                <c:pt idx="35">
                  <c:v>29.527999999999999</c:v>
                </c:pt>
                <c:pt idx="36">
                  <c:v>47.162999999999997</c:v>
                </c:pt>
                <c:pt idx="37">
                  <c:v>48.117000000000004</c:v>
                </c:pt>
                <c:pt idx="38">
                  <c:v>59.857999999999997</c:v>
                </c:pt>
                <c:pt idx="39">
                  <c:v>69.028999999999996</c:v>
                </c:pt>
                <c:pt idx="40">
                  <c:v>49.210999999999999</c:v>
                </c:pt>
                <c:pt idx="41">
                  <c:v>49.094999999999999</c:v>
                </c:pt>
                <c:pt idx="42">
                  <c:v>51.176000000000002</c:v>
                </c:pt>
                <c:pt idx="43">
                  <c:v>44.975999999999999</c:v>
                </c:pt>
                <c:pt idx="44">
                  <c:v>47.65</c:v>
                </c:pt>
                <c:pt idx="45">
                  <c:v>47.281000000000006</c:v>
                </c:pt>
                <c:pt idx="46">
                  <c:v>47.572000000000003</c:v>
                </c:pt>
                <c:pt idx="47">
                  <c:v>39.22</c:v>
                </c:pt>
                <c:pt idx="48">
                  <c:v>38.853000000000002</c:v>
                </c:pt>
                <c:pt idx="49">
                  <c:v>47.066000000000003</c:v>
                </c:pt>
                <c:pt idx="50">
                  <c:v>44.197000000000003</c:v>
                </c:pt>
                <c:pt idx="51">
                  <c:v>38.401000000000003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65-4CB4-B79E-605D7D4249FD}"/>
            </c:ext>
          </c:extLst>
        </c:ser>
        <c:ser>
          <c:idx val="0"/>
          <c:order val="1"/>
          <c:tx>
            <c:strRef>
              <c:f>'Weekliks-Weekly'!$M$6</c:f>
              <c:strCache>
                <c:ptCount val="1"/>
                <c:pt idx="0">
                  <c:v>Wit/White</c:v>
                </c:pt>
              </c:strCache>
            </c:strRef>
          </c:tx>
          <c:invertIfNegative val="0"/>
          <c:cat>
            <c:numRef>
              <c:f>'Weekliks-Weekly'!$B$9:$B$60</c:f>
              <c:numCache>
                <c:formatCode>d\-mmm\-yy</c:formatCode>
                <c:ptCount val="52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'Weekliks-Weekly'!$M$9:$M$60</c:f>
              <c:numCache>
                <c:formatCode>0.000</c:formatCode>
                <c:ptCount val="52"/>
                <c:pt idx="0">
                  <c:v>10.148</c:v>
                </c:pt>
                <c:pt idx="1">
                  <c:v>27.736999999999998</c:v>
                </c:pt>
                <c:pt idx="2">
                  <c:v>38.057000000000002</c:v>
                </c:pt>
                <c:pt idx="3">
                  <c:v>50.18</c:v>
                </c:pt>
                <c:pt idx="4">
                  <c:v>61.338000000000001</c:v>
                </c:pt>
                <c:pt idx="5">
                  <c:v>69.412999999999997</c:v>
                </c:pt>
                <c:pt idx="6">
                  <c:v>77.316000000000003</c:v>
                </c:pt>
                <c:pt idx="7">
                  <c:v>93.811999999999998</c:v>
                </c:pt>
                <c:pt idx="8">
                  <c:v>115.827</c:v>
                </c:pt>
                <c:pt idx="9">
                  <c:v>124.029</c:v>
                </c:pt>
                <c:pt idx="10">
                  <c:v>134.12700000000001</c:v>
                </c:pt>
                <c:pt idx="11">
                  <c:v>157.071</c:v>
                </c:pt>
                <c:pt idx="12">
                  <c:v>169.215</c:v>
                </c:pt>
                <c:pt idx="13">
                  <c:v>179.708</c:v>
                </c:pt>
                <c:pt idx="14">
                  <c:v>194.07900000000001</c:v>
                </c:pt>
                <c:pt idx="15">
                  <c:v>220.245</c:v>
                </c:pt>
                <c:pt idx="16">
                  <c:v>249.86099999999999</c:v>
                </c:pt>
                <c:pt idx="17">
                  <c:v>261.37599999999998</c:v>
                </c:pt>
                <c:pt idx="18">
                  <c:v>294.66399999999999</c:v>
                </c:pt>
                <c:pt idx="19">
                  <c:v>307.14299999999997</c:v>
                </c:pt>
                <c:pt idx="20">
                  <c:v>348.22799999999995</c:v>
                </c:pt>
                <c:pt idx="21">
                  <c:v>366.07499999999993</c:v>
                </c:pt>
                <c:pt idx="22">
                  <c:v>381.98199999999991</c:v>
                </c:pt>
                <c:pt idx="23">
                  <c:v>402.03099999999989</c:v>
                </c:pt>
                <c:pt idx="24">
                  <c:v>423.48399999999987</c:v>
                </c:pt>
                <c:pt idx="25">
                  <c:v>448.93899999999985</c:v>
                </c:pt>
                <c:pt idx="26">
                  <c:v>468.00799999999987</c:v>
                </c:pt>
                <c:pt idx="27">
                  <c:v>487.37599999999986</c:v>
                </c:pt>
                <c:pt idx="28">
                  <c:v>510.95899999999983</c:v>
                </c:pt>
                <c:pt idx="29">
                  <c:v>540.73299999999983</c:v>
                </c:pt>
                <c:pt idx="30">
                  <c:v>564.00099999999986</c:v>
                </c:pt>
                <c:pt idx="31">
                  <c:v>587.29799999999989</c:v>
                </c:pt>
                <c:pt idx="32">
                  <c:v>606.66099999999983</c:v>
                </c:pt>
                <c:pt idx="33">
                  <c:v>628.10599999999988</c:v>
                </c:pt>
                <c:pt idx="34">
                  <c:v>666.7589999999999</c:v>
                </c:pt>
                <c:pt idx="35">
                  <c:v>686.57299999999987</c:v>
                </c:pt>
                <c:pt idx="36">
                  <c:v>719.50099999999986</c:v>
                </c:pt>
                <c:pt idx="37">
                  <c:v>756.75299999999982</c:v>
                </c:pt>
                <c:pt idx="38">
                  <c:v>800.60799999999983</c:v>
                </c:pt>
                <c:pt idx="39">
                  <c:v>857.81199999999978</c:v>
                </c:pt>
                <c:pt idx="40">
                  <c:v>893.92799999999977</c:v>
                </c:pt>
                <c:pt idx="41">
                  <c:v>930.35999999999979</c:v>
                </c:pt>
                <c:pt idx="42">
                  <c:v>966.32299999999975</c:v>
                </c:pt>
                <c:pt idx="43">
                  <c:v>999.7149999999998</c:v>
                </c:pt>
                <c:pt idx="44">
                  <c:v>1032.9259999999997</c:v>
                </c:pt>
                <c:pt idx="45">
                  <c:v>1067.2999999999997</c:v>
                </c:pt>
                <c:pt idx="46">
                  <c:v>1102.3549999999998</c:v>
                </c:pt>
                <c:pt idx="47">
                  <c:v>1133.0169999999998</c:v>
                </c:pt>
                <c:pt idx="48">
                  <c:v>1161.2879999999998</c:v>
                </c:pt>
                <c:pt idx="49">
                  <c:v>1195.6919999999998</c:v>
                </c:pt>
                <c:pt idx="50">
                  <c:v>1226.5819999999999</c:v>
                </c:pt>
                <c:pt idx="51">
                  <c:v>1249.7459999999999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4-4BC2-BBA9-814938A4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629999"/>
        <c:axId val="1"/>
      </c:barChart>
      <c:catAx>
        <c:axId val="1465629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geëindig / Week ended</a:t>
                </a:r>
              </a:p>
            </c:rich>
          </c:tx>
          <c:layout>
            <c:manualLayout>
              <c:xMode val="edge"/>
              <c:yMode val="edge"/>
              <c:x val="0.39191800162910678"/>
              <c:y val="0.89462449076099326"/>
            </c:manualLayout>
          </c:layout>
          <c:overlay val="0"/>
          <c:spPr>
            <a:noFill/>
            <a:ln w="25400">
              <a:noFill/>
            </a:ln>
          </c:spPr>
        </c:title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2408087876097502E-2"/>
              <c:y val="0.37244935333309581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0_ ;_ * \-#\ ##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629999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94653733789705319"/>
          <c:w val="0.991257561770296"/>
          <c:h val="3.98777572498732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Cumulative Exports of White Maize for 2023/24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6064578030465224E-2"/>
          <c:y val="6.7265219896293457E-2"/>
          <c:w val="0.90396732903156729"/>
          <c:h val="0.64867069969912294"/>
        </c:manualLayout>
      </c:layout>
      <c:lineChart>
        <c:grouping val="standard"/>
        <c:varyColors val="0"/>
        <c:ser>
          <c:idx val="1"/>
          <c:order val="0"/>
          <c:tx>
            <c:strRef>
              <c:f>'Weekliks-Weekly'!$C$1</c:f>
              <c:strCache>
                <c:ptCount val="1"/>
                <c:pt idx="0">
                  <c:v>SAGIS: WEEKLIKSE INVOERE EN UITVOERE 2023/24 Bemarkingseisoen</c:v>
                </c:pt>
              </c:strCache>
            </c:strRef>
          </c:tx>
          <c:cat>
            <c:numRef>
              <c:f>'Weekliks-Weekly'!$B$9:$B$60</c:f>
              <c:numCache>
                <c:formatCode>d\-mmm\-yy</c:formatCode>
                <c:ptCount val="52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'Weekliks-Weekly'!$K$9:$K$60</c:f>
              <c:numCache>
                <c:formatCode>0.000</c:formatCode>
                <c:ptCount val="52"/>
                <c:pt idx="0">
                  <c:v>10.148</c:v>
                </c:pt>
                <c:pt idx="1">
                  <c:v>17.588999999999999</c:v>
                </c:pt>
                <c:pt idx="2">
                  <c:v>10.32</c:v>
                </c:pt>
                <c:pt idx="3">
                  <c:v>12.122999999999999</c:v>
                </c:pt>
                <c:pt idx="4">
                  <c:v>11.157999999999999</c:v>
                </c:pt>
                <c:pt idx="5">
                  <c:v>8.0749999999999993</c:v>
                </c:pt>
                <c:pt idx="6">
                  <c:v>7.9029999999999996</c:v>
                </c:pt>
                <c:pt idx="7">
                  <c:v>16.495999999999999</c:v>
                </c:pt>
                <c:pt idx="8">
                  <c:v>22.015000000000001</c:v>
                </c:pt>
                <c:pt idx="9">
                  <c:v>8.202</c:v>
                </c:pt>
                <c:pt idx="10">
                  <c:v>10.098000000000001</c:v>
                </c:pt>
                <c:pt idx="11">
                  <c:v>22.943999999999999</c:v>
                </c:pt>
                <c:pt idx="12">
                  <c:v>12.144</c:v>
                </c:pt>
                <c:pt idx="13">
                  <c:v>10.493</c:v>
                </c:pt>
                <c:pt idx="14">
                  <c:v>14.371</c:v>
                </c:pt>
                <c:pt idx="15">
                  <c:v>26.166</c:v>
                </c:pt>
                <c:pt idx="16">
                  <c:v>29.616</c:v>
                </c:pt>
                <c:pt idx="17">
                  <c:v>11.515000000000001</c:v>
                </c:pt>
                <c:pt idx="18">
                  <c:v>33.287999999999997</c:v>
                </c:pt>
                <c:pt idx="19">
                  <c:v>12.478999999999999</c:v>
                </c:pt>
                <c:pt idx="20">
                  <c:v>41.085000000000001</c:v>
                </c:pt>
                <c:pt idx="21">
                  <c:v>17.847000000000001</c:v>
                </c:pt>
                <c:pt idx="22">
                  <c:v>15.907</c:v>
                </c:pt>
                <c:pt idx="23">
                  <c:v>20.048999999999999</c:v>
                </c:pt>
                <c:pt idx="24">
                  <c:v>21.452999999999999</c:v>
                </c:pt>
                <c:pt idx="25">
                  <c:v>25.454999999999998</c:v>
                </c:pt>
                <c:pt idx="26">
                  <c:v>19.068999999999999</c:v>
                </c:pt>
                <c:pt idx="27">
                  <c:v>19.367999999999999</c:v>
                </c:pt>
                <c:pt idx="28">
                  <c:v>23.582999999999998</c:v>
                </c:pt>
                <c:pt idx="29">
                  <c:v>29.774000000000001</c:v>
                </c:pt>
                <c:pt idx="30">
                  <c:v>23.268000000000001</c:v>
                </c:pt>
                <c:pt idx="31">
                  <c:v>23.297000000000001</c:v>
                </c:pt>
                <c:pt idx="32">
                  <c:v>19.363</c:v>
                </c:pt>
                <c:pt idx="33">
                  <c:v>21.445</c:v>
                </c:pt>
                <c:pt idx="34">
                  <c:v>38.652999999999999</c:v>
                </c:pt>
                <c:pt idx="35">
                  <c:v>19.814</c:v>
                </c:pt>
                <c:pt idx="36">
                  <c:v>32.927999999999997</c:v>
                </c:pt>
                <c:pt idx="37">
                  <c:v>37.252000000000002</c:v>
                </c:pt>
                <c:pt idx="38">
                  <c:v>43.854999999999997</c:v>
                </c:pt>
                <c:pt idx="39">
                  <c:v>57.204000000000001</c:v>
                </c:pt>
                <c:pt idx="40">
                  <c:v>36.116</c:v>
                </c:pt>
                <c:pt idx="41">
                  <c:v>36.432000000000002</c:v>
                </c:pt>
                <c:pt idx="42">
                  <c:v>35.963000000000001</c:v>
                </c:pt>
                <c:pt idx="43" formatCode="0.000_ ;[Red]\-0.000\ ">
                  <c:v>33.392000000000003</c:v>
                </c:pt>
                <c:pt idx="44" formatCode="0.000_ ;[Red]\-0.000\ ">
                  <c:v>33.210999999999999</c:v>
                </c:pt>
                <c:pt idx="45" formatCode="0.000_ ;[Red]\-0.000\ ">
                  <c:v>34.374000000000002</c:v>
                </c:pt>
                <c:pt idx="46" formatCode="0.000_ ;[Red]\-0.000\ ">
                  <c:v>35.055</c:v>
                </c:pt>
                <c:pt idx="47" formatCode="0.000_ ;[Red]\-0.000\ ">
                  <c:v>30.661999999999999</c:v>
                </c:pt>
                <c:pt idx="48" formatCode="0.000_ ;[Red]\-0.000\ ">
                  <c:v>28.271000000000001</c:v>
                </c:pt>
                <c:pt idx="49" formatCode="0.000_ ;[Red]\-0.000\ ">
                  <c:v>34.404000000000003</c:v>
                </c:pt>
                <c:pt idx="50">
                  <c:v>30.89</c:v>
                </c:pt>
                <c:pt idx="51">
                  <c:v>23.164000000000001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D-4337-8BC4-F8EBD8FB55B5}"/>
            </c:ext>
          </c:extLst>
        </c:ser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2023/24 Bemarkingseisoen</c:v>
                </c:pt>
              </c:strCache>
            </c:strRef>
          </c:tx>
          <c:cat>
            <c:numRef>
              <c:f>'Weekliks-Weekly'!$B$9:$B$60</c:f>
              <c:numCache>
                <c:formatCode>d\-mmm\-yy</c:formatCode>
                <c:ptCount val="52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'Weekliks-Weekly'!$V$9:$V$60</c:f>
              <c:numCache>
                <c:formatCode>_ * #\ ##0_ ;_ * \-#\ ##0_ ;_ * "-"??_ ;_ @_ </c:formatCode>
                <c:ptCount val="52"/>
                <c:pt idx="0">
                  <c:v>47.052999999999997</c:v>
                </c:pt>
                <c:pt idx="1">
                  <c:v>98.429999999999993</c:v>
                </c:pt>
                <c:pt idx="2">
                  <c:v>149.68299999999999</c:v>
                </c:pt>
                <c:pt idx="3">
                  <c:v>259.82</c:v>
                </c:pt>
                <c:pt idx="4">
                  <c:v>305.07400000000001</c:v>
                </c:pt>
                <c:pt idx="5">
                  <c:v>436.52499999999998</c:v>
                </c:pt>
                <c:pt idx="6">
                  <c:v>527.35</c:v>
                </c:pt>
                <c:pt idx="7">
                  <c:v>657.79600000000005</c:v>
                </c:pt>
                <c:pt idx="8">
                  <c:v>760.09100000000001</c:v>
                </c:pt>
                <c:pt idx="9">
                  <c:v>859.14700000000005</c:v>
                </c:pt>
                <c:pt idx="10">
                  <c:v>987.26300000000015</c:v>
                </c:pt>
                <c:pt idx="11">
                  <c:v>1097.509</c:v>
                </c:pt>
                <c:pt idx="12">
                  <c:v>1256.4449999999999</c:v>
                </c:pt>
                <c:pt idx="13">
                  <c:v>1367.4770000000001</c:v>
                </c:pt>
                <c:pt idx="14">
                  <c:v>1438.424</c:v>
                </c:pt>
                <c:pt idx="15">
                  <c:v>1522.2800000000002</c:v>
                </c:pt>
                <c:pt idx="16">
                  <c:v>1617.4500000000003</c:v>
                </c:pt>
                <c:pt idx="17">
                  <c:v>1690.0720000000001</c:v>
                </c:pt>
                <c:pt idx="18">
                  <c:v>1755.5060000000001</c:v>
                </c:pt>
                <c:pt idx="19">
                  <c:v>1826.2250000000001</c:v>
                </c:pt>
                <c:pt idx="20">
                  <c:v>1873.732</c:v>
                </c:pt>
                <c:pt idx="21">
                  <c:v>1901.098</c:v>
                </c:pt>
                <c:pt idx="22">
                  <c:v>1981.0970000000002</c:v>
                </c:pt>
                <c:pt idx="23">
                  <c:v>2065.9250000000002</c:v>
                </c:pt>
                <c:pt idx="24">
                  <c:v>2119.123</c:v>
                </c:pt>
                <c:pt idx="25">
                  <c:v>2185.2219999999998</c:v>
                </c:pt>
                <c:pt idx="26">
                  <c:v>2213.1190000000001</c:v>
                </c:pt>
                <c:pt idx="27">
                  <c:v>2299.4409999999998</c:v>
                </c:pt>
                <c:pt idx="28">
                  <c:v>2334.0500000000002</c:v>
                </c:pt>
                <c:pt idx="29">
                  <c:v>2380.3989999999999</c:v>
                </c:pt>
                <c:pt idx="30">
                  <c:v>2417.0740000000001</c:v>
                </c:pt>
                <c:pt idx="31">
                  <c:v>2470.384</c:v>
                </c:pt>
                <c:pt idx="32">
                  <c:v>2518.4579999999996</c:v>
                </c:pt>
                <c:pt idx="33">
                  <c:v>2575.2950000000001</c:v>
                </c:pt>
                <c:pt idx="34">
                  <c:v>2618.4809999999998</c:v>
                </c:pt>
                <c:pt idx="35">
                  <c:v>2648.009</c:v>
                </c:pt>
                <c:pt idx="36">
                  <c:v>2695.1719999999996</c:v>
                </c:pt>
                <c:pt idx="37">
                  <c:v>2743.2889999999998</c:v>
                </c:pt>
                <c:pt idx="38">
                  <c:v>2803.1469999999995</c:v>
                </c:pt>
                <c:pt idx="39">
                  <c:v>2872.1759999999995</c:v>
                </c:pt>
                <c:pt idx="40">
                  <c:v>2921.3869999999997</c:v>
                </c:pt>
                <c:pt idx="41">
                  <c:v>2970.4819999999995</c:v>
                </c:pt>
                <c:pt idx="42">
                  <c:v>3021.6579999999999</c:v>
                </c:pt>
                <c:pt idx="43">
                  <c:v>3066.6339999999996</c:v>
                </c:pt>
                <c:pt idx="44">
                  <c:v>3114.2839999999997</c:v>
                </c:pt>
                <c:pt idx="45">
                  <c:v>3161.5649999999996</c:v>
                </c:pt>
                <c:pt idx="46">
                  <c:v>3209.1369999999997</c:v>
                </c:pt>
                <c:pt idx="47">
                  <c:v>3248.3569999999995</c:v>
                </c:pt>
                <c:pt idx="48">
                  <c:v>3287.2099999999991</c:v>
                </c:pt>
                <c:pt idx="49">
                  <c:v>3334.2759999999989</c:v>
                </c:pt>
                <c:pt idx="50">
                  <c:v>3378.472999999999</c:v>
                </c:pt>
                <c:pt idx="51">
                  <c:v>3416.8739999999989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B-43D6-9360-684EB75EC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0703"/>
        <c:axId val="1"/>
      </c:lineChart>
      <c:dateAx>
        <c:axId val="1463830703"/>
        <c:scaling>
          <c:orientation val="minMax"/>
          <c:max val="45443"/>
        </c:scaling>
        <c:delete val="0"/>
        <c:axPos val="b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tons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070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658253770754595E-2"/>
          <c:y val="0.85335781783517928"/>
          <c:w val="0.95284900931904115"/>
          <c:h val="0.104298135115456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Cumulative Exports of  Maize for 2023/24</a:t>
            </a:r>
          </a:p>
        </c:rich>
      </c:tx>
      <c:layout>
        <c:manualLayout>
          <c:xMode val="edge"/>
          <c:yMode val="edge"/>
          <c:x val="0.29958843456994294"/>
          <c:y val="4.581671758078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262202874187553E-2"/>
          <c:y val="9.8846584725689773E-2"/>
          <c:w val="0.88084632516703787"/>
          <c:h val="0.5632019396965624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'Weekliks-Weekly'!$C$1</c:f>
              <c:strCache>
                <c:ptCount val="1"/>
                <c:pt idx="0">
                  <c:v>SAGIS: WEEKLIKSE INVOERE EN UITVOERE 2023/24 Bemarkingseisoen</c:v>
                </c:pt>
              </c:strCache>
            </c:strRef>
          </c:tx>
          <c:cat>
            <c:numRef>
              <c:f>'Weekliks-Weekly'!$B$9:$B$60</c:f>
              <c:numCache>
                <c:formatCode>d\-mmm\-yy</c:formatCode>
                <c:ptCount val="52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'Weekliks-Weekly'!$N$9:$N$60</c:f>
              <c:numCache>
                <c:formatCode>0.000</c:formatCode>
                <c:ptCount val="52"/>
                <c:pt idx="0">
                  <c:v>36.905000000000001</c:v>
                </c:pt>
                <c:pt idx="1">
                  <c:v>70.692999999999998</c:v>
                </c:pt>
                <c:pt idx="2">
                  <c:v>111.626</c:v>
                </c:pt>
                <c:pt idx="3">
                  <c:v>209.64</c:v>
                </c:pt>
                <c:pt idx="4">
                  <c:v>243.73599999999999</c:v>
                </c:pt>
                <c:pt idx="5">
                  <c:v>367.11199999999997</c:v>
                </c:pt>
                <c:pt idx="6">
                  <c:v>450.03399999999999</c:v>
                </c:pt>
                <c:pt idx="7">
                  <c:v>563.98400000000004</c:v>
                </c:pt>
                <c:pt idx="8">
                  <c:v>644.26400000000001</c:v>
                </c:pt>
                <c:pt idx="9">
                  <c:v>735.11800000000005</c:v>
                </c:pt>
                <c:pt idx="10">
                  <c:v>853.13600000000008</c:v>
                </c:pt>
                <c:pt idx="11">
                  <c:v>940.4380000000001</c:v>
                </c:pt>
                <c:pt idx="12">
                  <c:v>1087.23</c:v>
                </c:pt>
                <c:pt idx="13">
                  <c:v>1187.769</c:v>
                </c:pt>
                <c:pt idx="14">
                  <c:v>1244.345</c:v>
                </c:pt>
                <c:pt idx="15">
                  <c:v>1302.0350000000001</c:v>
                </c:pt>
                <c:pt idx="16">
                  <c:v>1367.5890000000002</c:v>
                </c:pt>
                <c:pt idx="17">
                  <c:v>1428.6960000000001</c:v>
                </c:pt>
                <c:pt idx="18">
                  <c:v>1460.8420000000001</c:v>
                </c:pt>
                <c:pt idx="19">
                  <c:v>1519.0820000000001</c:v>
                </c:pt>
                <c:pt idx="20">
                  <c:v>1525.5040000000001</c:v>
                </c:pt>
                <c:pt idx="21">
                  <c:v>1535.0230000000001</c:v>
                </c:pt>
                <c:pt idx="22">
                  <c:v>1599.1150000000002</c:v>
                </c:pt>
                <c:pt idx="23">
                  <c:v>1663.8940000000002</c:v>
                </c:pt>
                <c:pt idx="24">
                  <c:v>1695.6390000000001</c:v>
                </c:pt>
                <c:pt idx="25">
                  <c:v>1736.2830000000001</c:v>
                </c:pt>
                <c:pt idx="26">
                  <c:v>1745.1110000000001</c:v>
                </c:pt>
                <c:pt idx="27">
                  <c:v>1812.0650000000001</c:v>
                </c:pt>
                <c:pt idx="28">
                  <c:v>1823.0910000000001</c:v>
                </c:pt>
                <c:pt idx="29">
                  <c:v>1839.6660000000002</c:v>
                </c:pt>
                <c:pt idx="30">
                  <c:v>1853.0730000000001</c:v>
                </c:pt>
                <c:pt idx="31">
                  <c:v>1883.086</c:v>
                </c:pt>
                <c:pt idx="32">
                  <c:v>1911.797</c:v>
                </c:pt>
                <c:pt idx="33">
                  <c:v>1947.1890000000001</c:v>
                </c:pt>
                <c:pt idx="34">
                  <c:v>1951.722</c:v>
                </c:pt>
                <c:pt idx="35">
                  <c:v>1961.4359999999999</c:v>
                </c:pt>
                <c:pt idx="36">
                  <c:v>1975.6709999999998</c:v>
                </c:pt>
                <c:pt idx="37">
                  <c:v>1986.5359999999998</c:v>
                </c:pt>
                <c:pt idx="38">
                  <c:v>2002.5389999999998</c:v>
                </c:pt>
                <c:pt idx="39">
                  <c:v>2014.3639999999998</c:v>
                </c:pt>
                <c:pt idx="40">
                  <c:v>2027.4589999999998</c:v>
                </c:pt>
                <c:pt idx="41">
                  <c:v>2040.1219999999998</c:v>
                </c:pt>
                <c:pt idx="42">
                  <c:v>2055.335</c:v>
                </c:pt>
                <c:pt idx="43">
                  <c:v>2066.9189999999999</c:v>
                </c:pt>
                <c:pt idx="44">
                  <c:v>2081.3579999999997</c:v>
                </c:pt>
                <c:pt idx="45">
                  <c:v>2094.2649999999999</c:v>
                </c:pt>
                <c:pt idx="46">
                  <c:v>2106.7819999999997</c:v>
                </c:pt>
                <c:pt idx="47">
                  <c:v>2115.3399999999997</c:v>
                </c:pt>
                <c:pt idx="48">
                  <c:v>2125.9219999999996</c:v>
                </c:pt>
                <c:pt idx="49">
                  <c:v>2138.5839999999994</c:v>
                </c:pt>
                <c:pt idx="50">
                  <c:v>2151.8909999999992</c:v>
                </c:pt>
                <c:pt idx="51">
                  <c:v>2167.1279999999992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7-4DB8-8FAE-A56CC4EE3D6F}"/>
            </c:ext>
          </c:extLst>
        </c:ser>
        <c:ser>
          <c:idx val="1"/>
          <c:order val="1"/>
          <c:tx>
            <c:strRef>
              <c:f>'Weekliks-Weekly'!$C$1</c:f>
              <c:strCache>
                <c:ptCount val="1"/>
                <c:pt idx="0">
                  <c:v>SAGIS: WEEKLIKSE INVOERE EN UITVOERE 2023/24 Bemarkingseisoen</c:v>
                </c:pt>
              </c:strCache>
            </c:strRef>
          </c:tx>
          <c:cat>
            <c:numRef>
              <c:f>'Weekliks-Weekly'!$B$9:$B$60</c:f>
              <c:numCache>
                <c:formatCode>d\-mmm\-yy</c:formatCode>
                <c:ptCount val="52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'Weekliks-Weekly'!$V$9:$V$60</c:f>
              <c:numCache>
                <c:formatCode>_ * #\ ##0_ ;_ * \-#\ ##0_ ;_ * "-"??_ ;_ @_ </c:formatCode>
                <c:ptCount val="52"/>
                <c:pt idx="0">
                  <c:v>47.052999999999997</c:v>
                </c:pt>
                <c:pt idx="1">
                  <c:v>98.429999999999993</c:v>
                </c:pt>
                <c:pt idx="2">
                  <c:v>149.68299999999999</c:v>
                </c:pt>
                <c:pt idx="3">
                  <c:v>259.82</c:v>
                </c:pt>
                <c:pt idx="4">
                  <c:v>305.07400000000001</c:v>
                </c:pt>
                <c:pt idx="5">
                  <c:v>436.52499999999998</c:v>
                </c:pt>
                <c:pt idx="6">
                  <c:v>527.35</c:v>
                </c:pt>
                <c:pt idx="7">
                  <c:v>657.79600000000005</c:v>
                </c:pt>
                <c:pt idx="8">
                  <c:v>760.09100000000001</c:v>
                </c:pt>
                <c:pt idx="9">
                  <c:v>859.14700000000005</c:v>
                </c:pt>
                <c:pt idx="10">
                  <c:v>987.26300000000015</c:v>
                </c:pt>
                <c:pt idx="11">
                  <c:v>1097.509</c:v>
                </c:pt>
                <c:pt idx="12">
                  <c:v>1256.4449999999999</c:v>
                </c:pt>
                <c:pt idx="13">
                  <c:v>1367.4770000000001</c:v>
                </c:pt>
                <c:pt idx="14">
                  <c:v>1438.424</c:v>
                </c:pt>
                <c:pt idx="15">
                  <c:v>1522.2800000000002</c:v>
                </c:pt>
                <c:pt idx="16">
                  <c:v>1617.4500000000003</c:v>
                </c:pt>
                <c:pt idx="17">
                  <c:v>1690.0720000000001</c:v>
                </c:pt>
                <c:pt idx="18">
                  <c:v>1755.5060000000001</c:v>
                </c:pt>
                <c:pt idx="19">
                  <c:v>1826.2250000000001</c:v>
                </c:pt>
                <c:pt idx="20">
                  <c:v>1873.732</c:v>
                </c:pt>
                <c:pt idx="21">
                  <c:v>1901.098</c:v>
                </c:pt>
                <c:pt idx="22">
                  <c:v>1981.0970000000002</c:v>
                </c:pt>
                <c:pt idx="23">
                  <c:v>2065.9250000000002</c:v>
                </c:pt>
                <c:pt idx="24">
                  <c:v>2119.123</c:v>
                </c:pt>
                <c:pt idx="25">
                  <c:v>2185.2219999999998</c:v>
                </c:pt>
                <c:pt idx="26">
                  <c:v>2213.1190000000001</c:v>
                </c:pt>
                <c:pt idx="27">
                  <c:v>2299.4409999999998</c:v>
                </c:pt>
                <c:pt idx="28">
                  <c:v>2334.0500000000002</c:v>
                </c:pt>
                <c:pt idx="29">
                  <c:v>2380.3989999999999</c:v>
                </c:pt>
                <c:pt idx="30">
                  <c:v>2417.0740000000001</c:v>
                </c:pt>
                <c:pt idx="31">
                  <c:v>2470.384</c:v>
                </c:pt>
                <c:pt idx="32">
                  <c:v>2518.4579999999996</c:v>
                </c:pt>
                <c:pt idx="33">
                  <c:v>2575.2950000000001</c:v>
                </c:pt>
                <c:pt idx="34">
                  <c:v>2618.4809999999998</c:v>
                </c:pt>
                <c:pt idx="35">
                  <c:v>2648.009</c:v>
                </c:pt>
                <c:pt idx="36">
                  <c:v>2695.1719999999996</c:v>
                </c:pt>
                <c:pt idx="37">
                  <c:v>2743.2889999999998</c:v>
                </c:pt>
                <c:pt idx="38">
                  <c:v>2803.1469999999995</c:v>
                </c:pt>
                <c:pt idx="39">
                  <c:v>2872.1759999999995</c:v>
                </c:pt>
                <c:pt idx="40">
                  <c:v>2921.3869999999997</c:v>
                </c:pt>
                <c:pt idx="41">
                  <c:v>2970.4819999999995</c:v>
                </c:pt>
                <c:pt idx="42">
                  <c:v>3021.6579999999999</c:v>
                </c:pt>
                <c:pt idx="43">
                  <c:v>3066.6339999999996</c:v>
                </c:pt>
                <c:pt idx="44">
                  <c:v>3114.2839999999997</c:v>
                </c:pt>
                <c:pt idx="45">
                  <c:v>3161.5649999999996</c:v>
                </c:pt>
                <c:pt idx="46">
                  <c:v>3209.1369999999997</c:v>
                </c:pt>
                <c:pt idx="47">
                  <c:v>3248.3569999999995</c:v>
                </c:pt>
                <c:pt idx="48">
                  <c:v>3287.2099999999991</c:v>
                </c:pt>
                <c:pt idx="49">
                  <c:v>3334.2759999999989</c:v>
                </c:pt>
                <c:pt idx="50">
                  <c:v>3378.472999999999</c:v>
                </c:pt>
                <c:pt idx="51">
                  <c:v>3416.8739999999989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7-4DB8-8FAE-A56CC4EE3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1119"/>
        <c:axId val="1"/>
      </c:lineChart>
      <c:dateAx>
        <c:axId val="1463831119"/>
        <c:scaling>
          <c:orientation val="minMax"/>
          <c:max val="45443"/>
        </c:scaling>
        <c:delete val="0"/>
        <c:axPos val="b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2236130526941679E-2"/>
              <c:y val="0.425532603665536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1119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214505609012962E-2"/>
          <c:y val="0.91989846319846635"/>
          <c:w val="0.97158593996742215"/>
          <c:h val="6.8003237644572292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Cumulative Exports of Maize </a:t>
            </a:r>
          </a:p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2021/22 Bemarkingseisoen/ Marketing season</a:t>
            </a:r>
          </a:p>
        </c:rich>
      </c:tx>
      <c:layout>
        <c:manualLayout>
          <c:xMode val="edge"/>
          <c:yMode val="edge"/>
          <c:x val="0.29810881619743568"/>
          <c:y val="1.9640346245676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7502173126481"/>
          <c:y val="0.17386257752263726"/>
          <c:w val="0.85865486790815826"/>
          <c:h val="0.6431389179800800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cat>
            <c:numRef>
              <c:f>'Weekliks-Weekly'!$B$9:$B$61</c:f>
              <c:numCache>
                <c:formatCode>d\-mmm\-yy</c:formatCode>
                <c:ptCount val="53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'Weekliks-Weekly'!$K$9:$K$60</c:f>
              <c:numCache>
                <c:formatCode>0.000</c:formatCode>
                <c:ptCount val="52"/>
                <c:pt idx="0">
                  <c:v>10.148</c:v>
                </c:pt>
                <c:pt idx="1">
                  <c:v>17.588999999999999</c:v>
                </c:pt>
                <c:pt idx="2">
                  <c:v>10.32</c:v>
                </c:pt>
                <c:pt idx="3">
                  <c:v>12.122999999999999</c:v>
                </c:pt>
                <c:pt idx="4">
                  <c:v>11.157999999999999</c:v>
                </c:pt>
                <c:pt idx="5">
                  <c:v>8.0749999999999993</c:v>
                </c:pt>
                <c:pt idx="6">
                  <c:v>7.9029999999999996</c:v>
                </c:pt>
                <c:pt idx="7">
                  <c:v>16.495999999999999</c:v>
                </c:pt>
                <c:pt idx="8">
                  <c:v>22.015000000000001</c:v>
                </c:pt>
                <c:pt idx="9">
                  <c:v>8.202</c:v>
                </c:pt>
                <c:pt idx="10">
                  <c:v>10.098000000000001</c:v>
                </c:pt>
                <c:pt idx="11">
                  <c:v>22.943999999999999</c:v>
                </c:pt>
                <c:pt idx="12">
                  <c:v>12.144</c:v>
                </c:pt>
                <c:pt idx="13">
                  <c:v>10.493</c:v>
                </c:pt>
                <c:pt idx="14">
                  <c:v>14.371</c:v>
                </c:pt>
                <c:pt idx="15">
                  <c:v>26.166</c:v>
                </c:pt>
                <c:pt idx="16">
                  <c:v>29.616</c:v>
                </c:pt>
                <c:pt idx="17">
                  <c:v>11.515000000000001</c:v>
                </c:pt>
                <c:pt idx="18">
                  <c:v>33.287999999999997</c:v>
                </c:pt>
                <c:pt idx="19">
                  <c:v>12.478999999999999</c:v>
                </c:pt>
                <c:pt idx="20">
                  <c:v>41.085000000000001</c:v>
                </c:pt>
                <c:pt idx="21">
                  <c:v>17.847000000000001</c:v>
                </c:pt>
                <c:pt idx="22">
                  <c:v>15.907</c:v>
                </c:pt>
                <c:pt idx="23">
                  <c:v>20.048999999999999</c:v>
                </c:pt>
                <c:pt idx="24">
                  <c:v>21.452999999999999</c:v>
                </c:pt>
                <c:pt idx="25">
                  <c:v>25.454999999999998</c:v>
                </c:pt>
                <c:pt idx="26">
                  <c:v>19.068999999999999</c:v>
                </c:pt>
                <c:pt idx="27">
                  <c:v>19.367999999999999</c:v>
                </c:pt>
                <c:pt idx="28">
                  <c:v>23.582999999999998</c:v>
                </c:pt>
                <c:pt idx="29">
                  <c:v>29.774000000000001</c:v>
                </c:pt>
                <c:pt idx="30">
                  <c:v>23.268000000000001</c:v>
                </c:pt>
                <c:pt idx="31">
                  <c:v>23.297000000000001</c:v>
                </c:pt>
                <c:pt idx="32">
                  <c:v>19.363</c:v>
                </c:pt>
                <c:pt idx="33">
                  <c:v>21.445</c:v>
                </c:pt>
                <c:pt idx="34">
                  <c:v>38.652999999999999</c:v>
                </c:pt>
                <c:pt idx="35">
                  <c:v>19.814</c:v>
                </c:pt>
                <c:pt idx="36">
                  <c:v>32.927999999999997</c:v>
                </c:pt>
                <c:pt idx="37">
                  <c:v>37.252000000000002</c:v>
                </c:pt>
                <c:pt idx="38">
                  <c:v>43.854999999999997</c:v>
                </c:pt>
                <c:pt idx="39">
                  <c:v>57.204000000000001</c:v>
                </c:pt>
                <c:pt idx="40">
                  <c:v>36.116</c:v>
                </c:pt>
                <c:pt idx="41">
                  <c:v>36.432000000000002</c:v>
                </c:pt>
                <c:pt idx="42">
                  <c:v>35.963000000000001</c:v>
                </c:pt>
                <c:pt idx="43" formatCode="0.000_ ;[Red]\-0.000\ ">
                  <c:v>33.392000000000003</c:v>
                </c:pt>
                <c:pt idx="44" formatCode="0.000_ ;[Red]\-0.000\ ">
                  <c:v>33.210999999999999</c:v>
                </c:pt>
                <c:pt idx="45" formatCode="0.000_ ;[Red]\-0.000\ ">
                  <c:v>34.374000000000002</c:v>
                </c:pt>
                <c:pt idx="46" formatCode="0.000_ ;[Red]\-0.000\ ">
                  <c:v>35.055</c:v>
                </c:pt>
                <c:pt idx="47" formatCode="0.000_ ;[Red]\-0.000\ ">
                  <c:v>30.661999999999999</c:v>
                </c:pt>
                <c:pt idx="48" formatCode="0.000_ ;[Red]\-0.000\ ">
                  <c:v>28.271000000000001</c:v>
                </c:pt>
                <c:pt idx="49" formatCode="0.000_ ;[Red]\-0.000\ ">
                  <c:v>34.404000000000003</c:v>
                </c:pt>
                <c:pt idx="50">
                  <c:v>30.89</c:v>
                </c:pt>
                <c:pt idx="51">
                  <c:v>23.164000000000001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1-4698-B9B0-21E5C3A3E063}"/>
            </c:ext>
          </c:extLst>
        </c:ser>
        <c:ser>
          <c:idx val="1"/>
          <c:order val="1"/>
          <c:tx>
            <c:strRef>
              <c:f>'Weekliks-Weekly'!$L$6</c:f>
              <c:strCache>
                <c:ptCount val="1"/>
                <c:pt idx="0">
                  <c:v>Geel/Yellow</c:v>
                </c:pt>
              </c:strCache>
            </c:strRef>
          </c:tx>
          <c:cat>
            <c:numRef>
              <c:f>'Weekliks-Weekly'!$B$9:$B$61</c:f>
              <c:numCache>
                <c:formatCode>d\-mmm\-yy</c:formatCode>
                <c:ptCount val="53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'Weekliks-Weekly'!$L$9:$L$60</c:f>
              <c:numCache>
                <c:formatCode>#\ ##0.000</c:formatCode>
                <c:ptCount val="52"/>
                <c:pt idx="0">
                  <c:v>36.905000000000001</c:v>
                </c:pt>
                <c:pt idx="1">
                  <c:v>33.787999999999997</c:v>
                </c:pt>
                <c:pt idx="2">
                  <c:v>40.933</c:v>
                </c:pt>
                <c:pt idx="3">
                  <c:v>98.013999999999996</c:v>
                </c:pt>
                <c:pt idx="4">
                  <c:v>34.095999999999997</c:v>
                </c:pt>
                <c:pt idx="5">
                  <c:v>123.376</c:v>
                </c:pt>
                <c:pt idx="6">
                  <c:v>82.921999999999997</c:v>
                </c:pt>
                <c:pt idx="7">
                  <c:v>113.95</c:v>
                </c:pt>
                <c:pt idx="8">
                  <c:v>80.28</c:v>
                </c:pt>
                <c:pt idx="9">
                  <c:v>90.853999999999999</c:v>
                </c:pt>
                <c:pt idx="10">
                  <c:v>118.018</c:v>
                </c:pt>
                <c:pt idx="11">
                  <c:v>87.302000000000007</c:v>
                </c:pt>
                <c:pt idx="12">
                  <c:v>146.792</c:v>
                </c:pt>
                <c:pt idx="13">
                  <c:v>100.539</c:v>
                </c:pt>
                <c:pt idx="14">
                  <c:v>56.576000000000001</c:v>
                </c:pt>
                <c:pt idx="15">
                  <c:v>57.69</c:v>
                </c:pt>
                <c:pt idx="16">
                  <c:v>65.554000000000002</c:v>
                </c:pt>
                <c:pt idx="17">
                  <c:v>61.106999999999999</c:v>
                </c:pt>
                <c:pt idx="18">
                  <c:v>32.146000000000001</c:v>
                </c:pt>
                <c:pt idx="19">
                  <c:v>58.24</c:v>
                </c:pt>
                <c:pt idx="20">
                  <c:v>6.4219999999999997</c:v>
                </c:pt>
                <c:pt idx="21">
                  <c:v>9.5190000000000001</c:v>
                </c:pt>
                <c:pt idx="22">
                  <c:v>64.091999999999999</c:v>
                </c:pt>
                <c:pt idx="23">
                  <c:v>64.778999999999996</c:v>
                </c:pt>
                <c:pt idx="24">
                  <c:v>31.745000000000001</c:v>
                </c:pt>
                <c:pt idx="25">
                  <c:v>40.643999999999998</c:v>
                </c:pt>
                <c:pt idx="26">
                  <c:v>8.8279999999999994</c:v>
                </c:pt>
                <c:pt idx="27">
                  <c:v>66.953999999999994</c:v>
                </c:pt>
                <c:pt idx="28">
                  <c:v>11.026</c:v>
                </c:pt>
                <c:pt idx="29">
                  <c:v>16.574999999999999</c:v>
                </c:pt>
                <c:pt idx="30">
                  <c:v>13.407</c:v>
                </c:pt>
                <c:pt idx="31">
                  <c:v>30.013000000000002</c:v>
                </c:pt>
                <c:pt idx="32">
                  <c:v>28.710999999999999</c:v>
                </c:pt>
                <c:pt idx="33">
                  <c:v>35.392000000000003</c:v>
                </c:pt>
                <c:pt idx="34">
                  <c:v>4.5330000000000004</c:v>
                </c:pt>
                <c:pt idx="35">
                  <c:v>9.7140000000000004</c:v>
                </c:pt>
                <c:pt idx="36">
                  <c:v>14.234999999999999</c:v>
                </c:pt>
                <c:pt idx="37">
                  <c:v>10.865</c:v>
                </c:pt>
                <c:pt idx="38">
                  <c:v>16.003</c:v>
                </c:pt>
                <c:pt idx="39">
                  <c:v>11.824999999999999</c:v>
                </c:pt>
                <c:pt idx="40">
                  <c:v>13.095000000000001</c:v>
                </c:pt>
                <c:pt idx="41">
                  <c:v>12.663</c:v>
                </c:pt>
                <c:pt idx="42">
                  <c:v>15.212999999999999</c:v>
                </c:pt>
                <c:pt idx="43">
                  <c:v>11.584</c:v>
                </c:pt>
                <c:pt idx="44">
                  <c:v>14.439</c:v>
                </c:pt>
                <c:pt idx="45">
                  <c:v>12.907</c:v>
                </c:pt>
                <c:pt idx="46">
                  <c:v>12.516999999999999</c:v>
                </c:pt>
                <c:pt idx="47">
                  <c:v>8.5579999999999998</c:v>
                </c:pt>
                <c:pt idx="48">
                  <c:v>10.582000000000001</c:v>
                </c:pt>
                <c:pt idx="49">
                  <c:v>12.662000000000001</c:v>
                </c:pt>
                <c:pt idx="50">
                  <c:v>13.307</c:v>
                </c:pt>
                <c:pt idx="51">
                  <c:v>15.237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31-4698-B9B0-21E5C3A3E063}"/>
            </c:ext>
          </c:extLst>
        </c:ser>
        <c:ser>
          <c:idx val="2"/>
          <c:order val="2"/>
          <c:tx>
            <c:strRef>
              <c:f>'Weekliks-Weekly'!$T$4:$T$7</c:f>
              <c:strCache>
                <c:ptCount val="4"/>
                <c:pt idx="0">
                  <c:v>Uitvoere/Exports</c:v>
                </c:pt>
                <c:pt idx="2">
                  <c:v>Total / maize</c:v>
                </c:pt>
                <c:pt idx="3">
                  <c:v>Weekliks/Weekly</c:v>
                </c:pt>
              </c:strCache>
            </c:strRef>
          </c:tx>
          <c:cat>
            <c:numRef>
              <c:f>'Weekliks-Weekly'!$B$9:$B$61</c:f>
              <c:numCache>
                <c:formatCode>d\-mmm\-yy</c:formatCode>
                <c:ptCount val="53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  <c:pt idx="8">
                  <c:v>45107</c:v>
                </c:pt>
                <c:pt idx="9">
                  <c:v>45114</c:v>
                </c:pt>
                <c:pt idx="10">
                  <c:v>45121</c:v>
                </c:pt>
                <c:pt idx="11">
                  <c:v>45128</c:v>
                </c:pt>
                <c:pt idx="12">
                  <c:v>45135</c:v>
                </c:pt>
                <c:pt idx="13">
                  <c:v>45142</c:v>
                </c:pt>
                <c:pt idx="14">
                  <c:v>45149</c:v>
                </c:pt>
                <c:pt idx="15">
                  <c:v>45156</c:v>
                </c:pt>
                <c:pt idx="16">
                  <c:v>45163</c:v>
                </c:pt>
                <c:pt idx="17">
                  <c:v>45170</c:v>
                </c:pt>
                <c:pt idx="18">
                  <c:v>45177</c:v>
                </c:pt>
                <c:pt idx="19">
                  <c:v>45184</c:v>
                </c:pt>
                <c:pt idx="20">
                  <c:v>45191</c:v>
                </c:pt>
                <c:pt idx="21">
                  <c:v>45198</c:v>
                </c:pt>
                <c:pt idx="22">
                  <c:v>45205</c:v>
                </c:pt>
                <c:pt idx="23">
                  <c:v>45212</c:v>
                </c:pt>
                <c:pt idx="24">
                  <c:v>45219</c:v>
                </c:pt>
                <c:pt idx="25">
                  <c:v>45226</c:v>
                </c:pt>
                <c:pt idx="26">
                  <c:v>45233</c:v>
                </c:pt>
                <c:pt idx="27">
                  <c:v>45240</c:v>
                </c:pt>
                <c:pt idx="28">
                  <c:v>45247</c:v>
                </c:pt>
                <c:pt idx="29">
                  <c:v>45254</c:v>
                </c:pt>
                <c:pt idx="30">
                  <c:v>45261</c:v>
                </c:pt>
                <c:pt idx="31">
                  <c:v>45268</c:v>
                </c:pt>
                <c:pt idx="32">
                  <c:v>45275</c:v>
                </c:pt>
                <c:pt idx="33">
                  <c:v>45282</c:v>
                </c:pt>
                <c:pt idx="34">
                  <c:v>45289</c:v>
                </c:pt>
                <c:pt idx="35">
                  <c:v>45296</c:v>
                </c:pt>
                <c:pt idx="36">
                  <c:v>45303</c:v>
                </c:pt>
                <c:pt idx="37">
                  <c:v>45310</c:v>
                </c:pt>
                <c:pt idx="38">
                  <c:v>45317</c:v>
                </c:pt>
                <c:pt idx="39">
                  <c:v>45324</c:v>
                </c:pt>
                <c:pt idx="40">
                  <c:v>45331</c:v>
                </c:pt>
                <c:pt idx="41">
                  <c:v>45338</c:v>
                </c:pt>
                <c:pt idx="42">
                  <c:v>45345</c:v>
                </c:pt>
                <c:pt idx="43">
                  <c:v>45352</c:v>
                </c:pt>
                <c:pt idx="44">
                  <c:v>45359</c:v>
                </c:pt>
                <c:pt idx="45">
                  <c:v>45366</c:v>
                </c:pt>
                <c:pt idx="46">
                  <c:v>45373</c:v>
                </c:pt>
                <c:pt idx="47">
                  <c:v>45380</c:v>
                </c:pt>
                <c:pt idx="48">
                  <c:v>45387</c:v>
                </c:pt>
                <c:pt idx="49">
                  <c:v>45394</c:v>
                </c:pt>
                <c:pt idx="50">
                  <c:v>45401</c:v>
                </c:pt>
                <c:pt idx="51">
                  <c:v>45408</c:v>
                </c:pt>
              </c:numCache>
            </c:numRef>
          </c:cat>
          <c:val>
            <c:numRef>
              <c:f>'Weekliks-Weekly'!$T$9:$T$60</c:f>
              <c:numCache>
                <c:formatCode>_ * #\ ##0_ ;_ * \-#\ ##0_ ;_ * "-"??_ ;_ @_ </c:formatCode>
                <c:ptCount val="52"/>
                <c:pt idx="0">
                  <c:v>47.052999999999997</c:v>
                </c:pt>
                <c:pt idx="1">
                  <c:v>51.376999999999995</c:v>
                </c:pt>
                <c:pt idx="2">
                  <c:v>51.253</c:v>
                </c:pt>
                <c:pt idx="3">
                  <c:v>110.137</c:v>
                </c:pt>
                <c:pt idx="4">
                  <c:v>45.253999999999998</c:v>
                </c:pt>
                <c:pt idx="5">
                  <c:v>131.45099999999999</c:v>
                </c:pt>
                <c:pt idx="6">
                  <c:v>90.825000000000003</c:v>
                </c:pt>
                <c:pt idx="7">
                  <c:v>130.446</c:v>
                </c:pt>
                <c:pt idx="8">
                  <c:v>102.295</c:v>
                </c:pt>
                <c:pt idx="9">
                  <c:v>99.055999999999997</c:v>
                </c:pt>
                <c:pt idx="10">
                  <c:v>128.11600000000001</c:v>
                </c:pt>
                <c:pt idx="11">
                  <c:v>110.24600000000001</c:v>
                </c:pt>
                <c:pt idx="12">
                  <c:v>158.93600000000001</c:v>
                </c:pt>
                <c:pt idx="13">
                  <c:v>111.032</c:v>
                </c:pt>
                <c:pt idx="14">
                  <c:v>70.947000000000003</c:v>
                </c:pt>
                <c:pt idx="15">
                  <c:v>83.855999999999995</c:v>
                </c:pt>
                <c:pt idx="16">
                  <c:v>95.17</c:v>
                </c:pt>
                <c:pt idx="17">
                  <c:v>72.622</c:v>
                </c:pt>
                <c:pt idx="18">
                  <c:v>65.433999999999997</c:v>
                </c:pt>
                <c:pt idx="19">
                  <c:v>70.718999999999994</c:v>
                </c:pt>
                <c:pt idx="20">
                  <c:v>47.506999999999998</c:v>
                </c:pt>
                <c:pt idx="21">
                  <c:v>27.366</c:v>
                </c:pt>
                <c:pt idx="22">
                  <c:v>79.998999999999995</c:v>
                </c:pt>
                <c:pt idx="23">
                  <c:v>84.828000000000003</c:v>
                </c:pt>
                <c:pt idx="24">
                  <c:v>53.198</c:v>
                </c:pt>
                <c:pt idx="25">
                  <c:v>66.09899999999999</c:v>
                </c:pt>
                <c:pt idx="26">
                  <c:v>27.896999999999998</c:v>
                </c:pt>
                <c:pt idx="27">
                  <c:v>86.321999999999989</c:v>
                </c:pt>
                <c:pt idx="28">
                  <c:v>34.608999999999995</c:v>
                </c:pt>
                <c:pt idx="29">
                  <c:v>46.349000000000004</c:v>
                </c:pt>
                <c:pt idx="30">
                  <c:v>36.674999999999997</c:v>
                </c:pt>
                <c:pt idx="31">
                  <c:v>53.31</c:v>
                </c:pt>
                <c:pt idx="32">
                  <c:v>48.073999999999998</c:v>
                </c:pt>
                <c:pt idx="33">
                  <c:v>56.837000000000003</c:v>
                </c:pt>
                <c:pt idx="34">
                  <c:v>43.186</c:v>
                </c:pt>
                <c:pt idx="35">
                  <c:v>29.527999999999999</c:v>
                </c:pt>
                <c:pt idx="36">
                  <c:v>47.162999999999997</c:v>
                </c:pt>
                <c:pt idx="37">
                  <c:v>48.117000000000004</c:v>
                </c:pt>
                <c:pt idx="38">
                  <c:v>59.857999999999997</c:v>
                </c:pt>
                <c:pt idx="39">
                  <c:v>69.028999999999996</c:v>
                </c:pt>
                <c:pt idx="40">
                  <c:v>49.210999999999999</c:v>
                </c:pt>
                <c:pt idx="41">
                  <c:v>49.094999999999999</c:v>
                </c:pt>
                <c:pt idx="42">
                  <c:v>51.176000000000002</c:v>
                </c:pt>
                <c:pt idx="43">
                  <c:v>44.975999999999999</c:v>
                </c:pt>
                <c:pt idx="44">
                  <c:v>47.65</c:v>
                </c:pt>
                <c:pt idx="45">
                  <c:v>47.281000000000006</c:v>
                </c:pt>
                <c:pt idx="46">
                  <c:v>47.572000000000003</c:v>
                </c:pt>
                <c:pt idx="47">
                  <c:v>39.22</c:v>
                </c:pt>
                <c:pt idx="48">
                  <c:v>38.853000000000002</c:v>
                </c:pt>
                <c:pt idx="49">
                  <c:v>47.066000000000003</c:v>
                </c:pt>
                <c:pt idx="50">
                  <c:v>44.197000000000003</c:v>
                </c:pt>
                <c:pt idx="51">
                  <c:v>38.401000000000003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31-4698-B9B0-21E5C3A3E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27375"/>
        <c:axId val="1"/>
      </c:lineChart>
      <c:dateAx>
        <c:axId val="1463827375"/>
        <c:scaling>
          <c:orientation val="minMax"/>
          <c:max val="4544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geëindig/ Week ended</a:t>
                </a:r>
              </a:p>
            </c:rich>
          </c:tx>
          <c:layout>
            <c:manualLayout>
              <c:xMode val="edge"/>
              <c:yMode val="edge"/>
              <c:x val="0.42768013622181228"/>
              <c:y val="0.94599007879204688"/>
            </c:manualLayout>
          </c:layout>
          <c:overlay val="0"/>
          <c:spPr>
            <a:noFill/>
            <a:ln w="25400">
              <a:noFill/>
            </a:ln>
          </c:spPr>
        </c:title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223612092208325E-2"/>
              <c:y val="0.425532175194670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27375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61629917619524"/>
          <c:y val="0.12280036424018428"/>
          <c:w val="0.32813732248917399"/>
          <c:h val="0.115552937215956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Kumulatiewe Invoere van Mielies </a:t>
            </a:r>
          </a:p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Kumulative Imports of Maize </a:t>
            </a:r>
          </a:p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11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2021/22 Bemarkingseisoen/ Marketing season</a:t>
            </a:r>
          </a:p>
        </c:rich>
      </c:tx>
      <c:layout>
        <c:manualLayout>
          <c:xMode val="edge"/>
          <c:yMode val="edge"/>
          <c:x val="0.29810888064637514"/>
          <c:y val="1.9640399280798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99453223686845"/>
          <c:y val="0.14924827253736139"/>
          <c:w val="0.88059290299177373"/>
          <c:h val="0.66339869281045749"/>
        </c:manualLayout>
      </c:layout>
      <c:lineChart>
        <c:grouping val="standard"/>
        <c:varyColors val="0"/>
        <c:ser>
          <c:idx val="1"/>
          <c:order val="0"/>
          <c:tx>
            <c:strRef>
              <c:f>'Weekliks-Weekly'!$M$7</c:f>
              <c:strCache>
                <c:ptCount val="1"/>
                <c:pt idx="0">
                  <c:v>Progressief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'Weekliks-Weekly'!$B$9:$B$61</c15:sqref>
                  </c15:fullRef>
                </c:ext>
              </c:extLst>
              <c:f>('Weekliks-Weekly'!$B$9,'Weekliks-Weekly'!$B$11:$B$61)</c:f>
              <c:numCache>
                <c:formatCode>d\-mmm\-yy</c:formatCode>
                <c:ptCount val="52"/>
                <c:pt idx="0">
                  <c:v>45051</c:v>
                </c:pt>
                <c:pt idx="1">
                  <c:v>45065</c:v>
                </c:pt>
                <c:pt idx="2">
                  <c:v>45072</c:v>
                </c:pt>
                <c:pt idx="3">
                  <c:v>45079</c:v>
                </c:pt>
                <c:pt idx="4">
                  <c:v>45086</c:v>
                </c:pt>
                <c:pt idx="5">
                  <c:v>45093</c:v>
                </c:pt>
                <c:pt idx="6">
                  <c:v>45100</c:v>
                </c:pt>
                <c:pt idx="7">
                  <c:v>45107</c:v>
                </c:pt>
                <c:pt idx="8">
                  <c:v>45114</c:v>
                </c:pt>
                <c:pt idx="9">
                  <c:v>45121</c:v>
                </c:pt>
                <c:pt idx="10">
                  <c:v>45128</c:v>
                </c:pt>
                <c:pt idx="11">
                  <c:v>45135</c:v>
                </c:pt>
                <c:pt idx="12">
                  <c:v>45142</c:v>
                </c:pt>
                <c:pt idx="13">
                  <c:v>45149</c:v>
                </c:pt>
                <c:pt idx="14">
                  <c:v>45156</c:v>
                </c:pt>
                <c:pt idx="15">
                  <c:v>45163</c:v>
                </c:pt>
                <c:pt idx="16">
                  <c:v>45170</c:v>
                </c:pt>
                <c:pt idx="17">
                  <c:v>45177</c:v>
                </c:pt>
                <c:pt idx="18">
                  <c:v>45184</c:v>
                </c:pt>
                <c:pt idx="19">
                  <c:v>45191</c:v>
                </c:pt>
                <c:pt idx="20">
                  <c:v>45198</c:v>
                </c:pt>
                <c:pt idx="21">
                  <c:v>45205</c:v>
                </c:pt>
                <c:pt idx="22">
                  <c:v>45212</c:v>
                </c:pt>
                <c:pt idx="23">
                  <c:v>45219</c:v>
                </c:pt>
                <c:pt idx="24">
                  <c:v>45226</c:v>
                </c:pt>
                <c:pt idx="25">
                  <c:v>45233</c:v>
                </c:pt>
                <c:pt idx="26">
                  <c:v>45240</c:v>
                </c:pt>
                <c:pt idx="27">
                  <c:v>45247</c:v>
                </c:pt>
                <c:pt idx="28">
                  <c:v>45254</c:v>
                </c:pt>
                <c:pt idx="29">
                  <c:v>45261</c:v>
                </c:pt>
                <c:pt idx="30">
                  <c:v>45268</c:v>
                </c:pt>
                <c:pt idx="31">
                  <c:v>45275</c:v>
                </c:pt>
                <c:pt idx="32">
                  <c:v>45282</c:v>
                </c:pt>
                <c:pt idx="33">
                  <c:v>45289</c:v>
                </c:pt>
                <c:pt idx="34">
                  <c:v>45296</c:v>
                </c:pt>
                <c:pt idx="35">
                  <c:v>45303</c:v>
                </c:pt>
                <c:pt idx="36">
                  <c:v>45310</c:v>
                </c:pt>
                <c:pt idx="37">
                  <c:v>45317</c:v>
                </c:pt>
                <c:pt idx="38">
                  <c:v>45324</c:v>
                </c:pt>
                <c:pt idx="39">
                  <c:v>45331</c:v>
                </c:pt>
                <c:pt idx="40">
                  <c:v>45338</c:v>
                </c:pt>
                <c:pt idx="41">
                  <c:v>45345</c:v>
                </c:pt>
                <c:pt idx="42">
                  <c:v>45352</c:v>
                </c:pt>
                <c:pt idx="43">
                  <c:v>45359</c:v>
                </c:pt>
                <c:pt idx="44">
                  <c:v>45366</c:v>
                </c:pt>
                <c:pt idx="45">
                  <c:v>45373</c:v>
                </c:pt>
                <c:pt idx="46">
                  <c:v>45380</c:v>
                </c:pt>
                <c:pt idx="47">
                  <c:v>45387</c:v>
                </c:pt>
                <c:pt idx="48">
                  <c:v>45394</c:v>
                </c:pt>
                <c:pt idx="49">
                  <c:v>45401</c:v>
                </c:pt>
                <c:pt idx="50">
                  <c:v>45408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'Weekliks-Weekly'!$M$9:$M$61</c15:sqref>
                  </c15:fullRef>
                </c:ext>
              </c:extLst>
              <c:f>('Weekliks-Weekly'!$M$9,'Weekliks-Weekly'!$M$11:$M$61)</c:f>
              <c:numCache>
                <c:formatCode>0.000</c:formatCode>
                <c:ptCount val="52"/>
                <c:pt idx="0">
                  <c:v>10.148</c:v>
                </c:pt>
                <c:pt idx="1">
                  <c:v>38.057000000000002</c:v>
                </c:pt>
                <c:pt idx="2">
                  <c:v>50.18</c:v>
                </c:pt>
                <c:pt idx="3">
                  <c:v>61.338000000000001</c:v>
                </c:pt>
                <c:pt idx="4">
                  <c:v>69.412999999999997</c:v>
                </c:pt>
                <c:pt idx="5">
                  <c:v>77.316000000000003</c:v>
                </c:pt>
                <c:pt idx="6">
                  <c:v>93.811999999999998</c:v>
                </c:pt>
                <c:pt idx="7">
                  <c:v>115.827</c:v>
                </c:pt>
                <c:pt idx="8">
                  <c:v>124.029</c:v>
                </c:pt>
                <c:pt idx="9">
                  <c:v>134.12700000000001</c:v>
                </c:pt>
                <c:pt idx="10">
                  <c:v>157.071</c:v>
                </c:pt>
                <c:pt idx="11">
                  <c:v>169.215</c:v>
                </c:pt>
                <c:pt idx="12">
                  <c:v>179.708</c:v>
                </c:pt>
                <c:pt idx="13">
                  <c:v>194.07900000000001</c:v>
                </c:pt>
                <c:pt idx="14">
                  <c:v>220.245</c:v>
                </c:pt>
                <c:pt idx="15">
                  <c:v>249.86099999999999</c:v>
                </c:pt>
                <c:pt idx="16">
                  <c:v>261.37599999999998</c:v>
                </c:pt>
                <c:pt idx="17">
                  <c:v>294.66399999999999</c:v>
                </c:pt>
                <c:pt idx="18">
                  <c:v>307.14299999999997</c:v>
                </c:pt>
                <c:pt idx="19">
                  <c:v>348.22799999999995</c:v>
                </c:pt>
                <c:pt idx="20">
                  <c:v>366.07499999999993</c:v>
                </c:pt>
                <c:pt idx="21">
                  <c:v>381.98199999999991</c:v>
                </c:pt>
                <c:pt idx="22">
                  <c:v>402.03099999999989</c:v>
                </c:pt>
                <c:pt idx="23">
                  <c:v>423.48399999999987</c:v>
                </c:pt>
                <c:pt idx="24">
                  <c:v>448.93899999999985</c:v>
                </c:pt>
                <c:pt idx="25">
                  <c:v>468.00799999999987</c:v>
                </c:pt>
                <c:pt idx="26">
                  <c:v>487.37599999999986</c:v>
                </c:pt>
                <c:pt idx="27">
                  <c:v>510.95899999999983</c:v>
                </c:pt>
                <c:pt idx="28">
                  <c:v>540.73299999999983</c:v>
                </c:pt>
                <c:pt idx="29">
                  <c:v>564.00099999999986</c:v>
                </c:pt>
                <c:pt idx="30">
                  <c:v>587.29799999999989</c:v>
                </c:pt>
                <c:pt idx="31">
                  <c:v>606.66099999999983</c:v>
                </c:pt>
                <c:pt idx="32">
                  <c:v>628.10599999999988</c:v>
                </c:pt>
                <c:pt idx="33">
                  <c:v>666.7589999999999</c:v>
                </c:pt>
                <c:pt idx="34">
                  <c:v>686.57299999999987</c:v>
                </c:pt>
                <c:pt idx="35">
                  <c:v>719.50099999999986</c:v>
                </c:pt>
                <c:pt idx="36">
                  <c:v>756.75299999999982</c:v>
                </c:pt>
                <c:pt idx="37">
                  <c:v>800.60799999999983</c:v>
                </c:pt>
                <c:pt idx="38">
                  <c:v>857.81199999999978</c:v>
                </c:pt>
                <c:pt idx="39">
                  <c:v>893.92799999999977</c:v>
                </c:pt>
                <c:pt idx="40">
                  <c:v>930.35999999999979</c:v>
                </c:pt>
                <c:pt idx="41">
                  <c:v>966.32299999999975</c:v>
                </c:pt>
                <c:pt idx="42">
                  <c:v>999.7149999999998</c:v>
                </c:pt>
                <c:pt idx="43">
                  <c:v>1032.9259999999997</c:v>
                </c:pt>
                <c:pt idx="44">
                  <c:v>1067.2999999999997</c:v>
                </c:pt>
                <c:pt idx="45">
                  <c:v>1102.3549999999998</c:v>
                </c:pt>
                <c:pt idx="46">
                  <c:v>1133.0169999999998</c:v>
                </c:pt>
                <c:pt idx="47">
                  <c:v>1161.2879999999998</c:v>
                </c:pt>
                <c:pt idx="48">
                  <c:v>1195.6919999999998</c:v>
                </c:pt>
                <c:pt idx="49">
                  <c:v>1226.5819999999999</c:v>
                </c:pt>
                <c:pt idx="50">
                  <c:v>1249.7459999999999</c:v>
                </c:pt>
                <c:pt idx="51">
                  <c:v>1249.7459999999999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2-4116-B86D-C7E176FD0077}"/>
            </c:ext>
          </c:extLst>
        </c:ser>
        <c:ser>
          <c:idx val="2"/>
          <c:order val="1"/>
          <c:tx>
            <c:strRef>
              <c:f>'Weekliks-Weekly'!$T$7</c:f>
              <c:strCache>
                <c:ptCount val="1"/>
                <c:pt idx="0">
                  <c:v>Weekliks/Weekly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'Weekliks-Weekly'!$B$9:$B$61</c15:sqref>
                  </c15:fullRef>
                </c:ext>
              </c:extLst>
              <c:f>('Weekliks-Weekly'!$B$9,'Weekliks-Weekly'!$B$11:$B$61)</c:f>
              <c:numCache>
                <c:formatCode>d\-mmm\-yy</c:formatCode>
                <c:ptCount val="52"/>
                <c:pt idx="0">
                  <c:v>45051</c:v>
                </c:pt>
                <c:pt idx="1">
                  <c:v>45065</c:v>
                </c:pt>
                <c:pt idx="2">
                  <c:v>45072</c:v>
                </c:pt>
                <c:pt idx="3">
                  <c:v>45079</c:v>
                </c:pt>
                <c:pt idx="4">
                  <c:v>45086</c:v>
                </c:pt>
                <c:pt idx="5">
                  <c:v>45093</c:v>
                </c:pt>
                <c:pt idx="6">
                  <c:v>45100</c:v>
                </c:pt>
                <c:pt idx="7">
                  <c:v>45107</c:v>
                </c:pt>
                <c:pt idx="8">
                  <c:v>45114</c:v>
                </c:pt>
                <c:pt idx="9">
                  <c:v>45121</c:v>
                </c:pt>
                <c:pt idx="10">
                  <c:v>45128</c:v>
                </c:pt>
                <c:pt idx="11">
                  <c:v>45135</c:v>
                </c:pt>
                <c:pt idx="12">
                  <c:v>45142</c:v>
                </c:pt>
                <c:pt idx="13">
                  <c:v>45149</c:v>
                </c:pt>
                <c:pt idx="14">
                  <c:v>45156</c:v>
                </c:pt>
                <c:pt idx="15">
                  <c:v>45163</c:v>
                </c:pt>
                <c:pt idx="16">
                  <c:v>45170</c:v>
                </c:pt>
                <c:pt idx="17">
                  <c:v>45177</c:v>
                </c:pt>
                <c:pt idx="18">
                  <c:v>45184</c:v>
                </c:pt>
                <c:pt idx="19">
                  <c:v>45191</c:v>
                </c:pt>
                <c:pt idx="20">
                  <c:v>45198</c:v>
                </c:pt>
                <c:pt idx="21">
                  <c:v>45205</c:v>
                </c:pt>
                <c:pt idx="22">
                  <c:v>45212</c:v>
                </c:pt>
                <c:pt idx="23">
                  <c:v>45219</c:v>
                </c:pt>
                <c:pt idx="24">
                  <c:v>45226</c:v>
                </c:pt>
                <c:pt idx="25">
                  <c:v>45233</c:v>
                </c:pt>
                <c:pt idx="26">
                  <c:v>45240</c:v>
                </c:pt>
                <c:pt idx="27">
                  <c:v>45247</c:v>
                </c:pt>
                <c:pt idx="28">
                  <c:v>45254</c:v>
                </c:pt>
                <c:pt idx="29">
                  <c:v>45261</c:v>
                </c:pt>
                <c:pt idx="30">
                  <c:v>45268</c:v>
                </c:pt>
                <c:pt idx="31">
                  <c:v>45275</c:v>
                </c:pt>
                <c:pt idx="32">
                  <c:v>45282</c:v>
                </c:pt>
                <c:pt idx="33">
                  <c:v>45289</c:v>
                </c:pt>
                <c:pt idx="34">
                  <c:v>45296</c:v>
                </c:pt>
                <c:pt idx="35">
                  <c:v>45303</c:v>
                </c:pt>
                <c:pt idx="36">
                  <c:v>45310</c:v>
                </c:pt>
                <c:pt idx="37">
                  <c:v>45317</c:v>
                </c:pt>
                <c:pt idx="38">
                  <c:v>45324</c:v>
                </c:pt>
                <c:pt idx="39">
                  <c:v>45331</c:v>
                </c:pt>
                <c:pt idx="40">
                  <c:v>45338</c:v>
                </c:pt>
                <c:pt idx="41">
                  <c:v>45345</c:v>
                </c:pt>
                <c:pt idx="42">
                  <c:v>45352</c:v>
                </c:pt>
                <c:pt idx="43">
                  <c:v>45359</c:v>
                </c:pt>
                <c:pt idx="44">
                  <c:v>45366</c:v>
                </c:pt>
                <c:pt idx="45">
                  <c:v>45373</c:v>
                </c:pt>
                <c:pt idx="46">
                  <c:v>45380</c:v>
                </c:pt>
                <c:pt idx="47">
                  <c:v>45387</c:v>
                </c:pt>
                <c:pt idx="48">
                  <c:v>45394</c:v>
                </c:pt>
                <c:pt idx="49">
                  <c:v>45401</c:v>
                </c:pt>
                <c:pt idx="50">
                  <c:v>45408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'Weekliks-Weekly'!$T$9:$T$61</c15:sqref>
                  </c15:fullRef>
                </c:ext>
              </c:extLst>
              <c:f>('Weekliks-Weekly'!$T$9,'Weekliks-Weekly'!$T$11:$T$61)</c:f>
              <c:numCache>
                <c:formatCode>_ * #\ ##0_ ;_ * \-#\ ##0_ ;_ * "-"??_ ;_ @_ </c:formatCode>
                <c:ptCount val="52"/>
                <c:pt idx="0">
                  <c:v>47.052999999999997</c:v>
                </c:pt>
                <c:pt idx="1">
                  <c:v>51.253</c:v>
                </c:pt>
                <c:pt idx="2">
                  <c:v>110.137</c:v>
                </c:pt>
                <c:pt idx="3">
                  <c:v>45.253999999999998</c:v>
                </c:pt>
                <c:pt idx="4">
                  <c:v>131.45099999999999</c:v>
                </c:pt>
                <c:pt idx="5">
                  <c:v>90.825000000000003</c:v>
                </c:pt>
                <c:pt idx="6">
                  <c:v>130.446</c:v>
                </c:pt>
                <c:pt idx="7">
                  <c:v>102.295</c:v>
                </c:pt>
                <c:pt idx="8">
                  <c:v>99.055999999999997</c:v>
                </c:pt>
                <c:pt idx="9">
                  <c:v>128.11600000000001</c:v>
                </c:pt>
                <c:pt idx="10">
                  <c:v>110.24600000000001</c:v>
                </c:pt>
                <c:pt idx="11">
                  <c:v>158.93600000000001</c:v>
                </c:pt>
                <c:pt idx="12">
                  <c:v>111.032</c:v>
                </c:pt>
                <c:pt idx="13">
                  <c:v>70.947000000000003</c:v>
                </c:pt>
                <c:pt idx="14">
                  <c:v>83.855999999999995</c:v>
                </c:pt>
                <c:pt idx="15">
                  <c:v>95.17</c:v>
                </c:pt>
                <c:pt idx="16">
                  <c:v>72.622</c:v>
                </c:pt>
                <c:pt idx="17">
                  <c:v>65.433999999999997</c:v>
                </c:pt>
                <c:pt idx="18">
                  <c:v>70.718999999999994</c:v>
                </c:pt>
                <c:pt idx="19">
                  <c:v>47.506999999999998</c:v>
                </c:pt>
                <c:pt idx="20">
                  <c:v>27.366</c:v>
                </c:pt>
                <c:pt idx="21">
                  <c:v>79.998999999999995</c:v>
                </c:pt>
                <c:pt idx="22">
                  <c:v>84.828000000000003</c:v>
                </c:pt>
                <c:pt idx="23">
                  <c:v>53.198</c:v>
                </c:pt>
                <c:pt idx="24">
                  <c:v>66.09899999999999</c:v>
                </c:pt>
                <c:pt idx="25">
                  <c:v>27.896999999999998</c:v>
                </c:pt>
                <c:pt idx="26">
                  <c:v>86.321999999999989</c:v>
                </c:pt>
                <c:pt idx="27">
                  <c:v>34.608999999999995</c:v>
                </c:pt>
                <c:pt idx="28">
                  <c:v>46.349000000000004</c:v>
                </c:pt>
                <c:pt idx="29">
                  <c:v>36.674999999999997</c:v>
                </c:pt>
                <c:pt idx="30">
                  <c:v>53.31</c:v>
                </c:pt>
                <c:pt idx="31">
                  <c:v>48.073999999999998</c:v>
                </c:pt>
                <c:pt idx="32">
                  <c:v>56.837000000000003</c:v>
                </c:pt>
                <c:pt idx="33">
                  <c:v>43.186</c:v>
                </c:pt>
                <c:pt idx="34">
                  <c:v>29.527999999999999</c:v>
                </c:pt>
                <c:pt idx="35">
                  <c:v>47.162999999999997</c:v>
                </c:pt>
                <c:pt idx="36">
                  <c:v>48.117000000000004</c:v>
                </c:pt>
                <c:pt idx="37">
                  <c:v>59.857999999999997</c:v>
                </c:pt>
                <c:pt idx="38">
                  <c:v>69.028999999999996</c:v>
                </c:pt>
                <c:pt idx="39">
                  <c:v>49.210999999999999</c:v>
                </c:pt>
                <c:pt idx="40">
                  <c:v>49.094999999999999</c:v>
                </c:pt>
                <c:pt idx="41">
                  <c:v>51.176000000000002</c:v>
                </c:pt>
                <c:pt idx="42">
                  <c:v>44.975999999999999</c:v>
                </c:pt>
                <c:pt idx="43">
                  <c:v>47.65</c:v>
                </c:pt>
                <c:pt idx="44">
                  <c:v>47.281000000000006</c:v>
                </c:pt>
                <c:pt idx="45">
                  <c:v>47.572000000000003</c:v>
                </c:pt>
                <c:pt idx="46">
                  <c:v>39.22</c:v>
                </c:pt>
                <c:pt idx="47">
                  <c:v>38.853000000000002</c:v>
                </c:pt>
                <c:pt idx="48">
                  <c:v>47.066000000000003</c:v>
                </c:pt>
                <c:pt idx="49">
                  <c:v>44.197000000000003</c:v>
                </c:pt>
                <c:pt idx="50">
                  <c:v>38.401000000000003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12-4116-B86D-C7E176FD0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4031"/>
        <c:axId val="1"/>
      </c:lineChart>
      <c:dateAx>
        <c:axId val="1463834031"/>
        <c:scaling>
          <c:orientation val="minMax"/>
          <c:max val="45443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geëindig/ Week ended</a:t>
                </a:r>
              </a:p>
            </c:rich>
          </c:tx>
          <c:layout>
            <c:manualLayout>
              <c:xMode val="edge"/>
              <c:yMode val="edge"/>
              <c:x val="0.41379320015986426"/>
              <c:y val="0.94599017642479732"/>
            </c:manualLayout>
          </c:layout>
          <c:overlay val="0"/>
          <c:spPr>
            <a:noFill/>
            <a:ln w="25400">
              <a:noFill/>
            </a:ln>
          </c:spPr>
        </c:title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Tonne/ Tons</a:t>
                </a:r>
              </a:p>
            </c:rich>
          </c:tx>
          <c:layout>
            <c:manualLayout>
              <c:xMode val="edge"/>
              <c:yMode val="edge"/>
              <c:x val="1.1218544253651285E-5"/>
              <c:y val="0.4031622818801193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83403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17036341331107"/>
          <c:y val="0.4454363918795865"/>
          <c:w val="0.26036454939340009"/>
          <c:h val="0.135891596626844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Total Maize exports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92785708706085E-2"/>
          <c:y val="7.4725745063474611E-2"/>
          <c:w val="0.90653828632498423"/>
          <c:h val="0.82878959785672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Sheet1!$O$1</c:f>
              <c:strCache>
                <c:ptCount val="1"/>
                <c:pt idx="0">
                  <c:v>Avg YTD exports (top 5 export yrs)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Sheet1!$O$2:$O$53</c:f>
              <c:numCache>
                <c:formatCode>_-* #\ ##0_-;\-* #\ ##0_-;_-* "-"??_-;_-@_-</c:formatCode>
                <c:ptCount val="52"/>
                <c:pt idx="0">
                  <c:v>26677.4</c:v>
                </c:pt>
                <c:pt idx="1">
                  <c:v>52376</c:v>
                </c:pt>
                <c:pt idx="2">
                  <c:v>102938.8</c:v>
                </c:pt>
                <c:pt idx="3">
                  <c:v>144972</c:v>
                </c:pt>
                <c:pt idx="4">
                  <c:v>214268.4</c:v>
                </c:pt>
                <c:pt idx="5">
                  <c:v>267898</c:v>
                </c:pt>
                <c:pt idx="6">
                  <c:v>334029</c:v>
                </c:pt>
                <c:pt idx="7">
                  <c:v>412559</c:v>
                </c:pt>
                <c:pt idx="8">
                  <c:v>503150</c:v>
                </c:pt>
                <c:pt idx="9">
                  <c:v>586026.80000000005</c:v>
                </c:pt>
                <c:pt idx="10">
                  <c:v>681925.4</c:v>
                </c:pt>
                <c:pt idx="11">
                  <c:v>766701.2</c:v>
                </c:pt>
                <c:pt idx="12">
                  <c:v>886397.2</c:v>
                </c:pt>
                <c:pt idx="13">
                  <c:v>949435.4</c:v>
                </c:pt>
                <c:pt idx="14">
                  <c:v>1033774.8</c:v>
                </c:pt>
                <c:pt idx="15">
                  <c:v>1099018</c:v>
                </c:pt>
                <c:pt idx="16">
                  <c:v>1166717.6000000001</c:v>
                </c:pt>
                <c:pt idx="17">
                  <c:v>1220064.3999999999</c:v>
                </c:pt>
                <c:pt idx="18">
                  <c:v>1255531.2</c:v>
                </c:pt>
                <c:pt idx="19">
                  <c:v>1313555.3999999999</c:v>
                </c:pt>
                <c:pt idx="20">
                  <c:v>1368341.6</c:v>
                </c:pt>
                <c:pt idx="21">
                  <c:v>1397109.8</c:v>
                </c:pt>
                <c:pt idx="22">
                  <c:v>1436848.8</c:v>
                </c:pt>
                <c:pt idx="23">
                  <c:v>1472061</c:v>
                </c:pt>
                <c:pt idx="24">
                  <c:v>1502688.2</c:v>
                </c:pt>
                <c:pt idx="25">
                  <c:v>1560927.8</c:v>
                </c:pt>
                <c:pt idx="26">
                  <c:v>1593109.2</c:v>
                </c:pt>
                <c:pt idx="27">
                  <c:v>1630847.2</c:v>
                </c:pt>
                <c:pt idx="28">
                  <c:v>1647197.8</c:v>
                </c:pt>
                <c:pt idx="29">
                  <c:v>1681186.4</c:v>
                </c:pt>
                <c:pt idx="30">
                  <c:v>1717030</c:v>
                </c:pt>
                <c:pt idx="31">
                  <c:v>1759980.6</c:v>
                </c:pt>
                <c:pt idx="32">
                  <c:v>1769164</c:v>
                </c:pt>
                <c:pt idx="33">
                  <c:v>1776862</c:v>
                </c:pt>
                <c:pt idx="34">
                  <c:v>1829684.6</c:v>
                </c:pt>
                <c:pt idx="35">
                  <c:v>1837648.8</c:v>
                </c:pt>
                <c:pt idx="36">
                  <c:v>1870028.2</c:v>
                </c:pt>
                <c:pt idx="37">
                  <c:v>1891726.8</c:v>
                </c:pt>
                <c:pt idx="38">
                  <c:v>1919523.4</c:v>
                </c:pt>
                <c:pt idx="39">
                  <c:v>1954084.2</c:v>
                </c:pt>
                <c:pt idx="40">
                  <c:v>1976607.2</c:v>
                </c:pt>
                <c:pt idx="41">
                  <c:v>2003453.8</c:v>
                </c:pt>
                <c:pt idx="42">
                  <c:v>2035038.6</c:v>
                </c:pt>
                <c:pt idx="43">
                  <c:v>2070406.4</c:v>
                </c:pt>
                <c:pt idx="44">
                  <c:v>2088982.4</c:v>
                </c:pt>
                <c:pt idx="45">
                  <c:v>2111675.6</c:v>
                </c:pt>
                <c:pt idx="46">
                  <c:v>2134796.4</c:v>
                </c:pt>
                <c:pt idx="47">
                  <c:v>2158539.2000000002</c:v>
                </c:pt>
                <c:pt idx="48">
                  <c:v>2184895.2000000002</c:v>
                </c:pt>
                <c:pt idx="49">
                  <c:v>2206229.7999999998</c:v>
                </c:pt>
                <c:pt idx="50">
                  <c:v>2221266.4</c:v>
                </c:pt>
                <c:pt idx="51">
                  <c:v>2271227.7999999998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B-425E-A643-0BC51A4FE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63829871"/>
        <c:axId val="1"/>
      </c:barChar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2021/2022*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Sheet1!$N$2:$N$53</c:f>
              <c:numCache>
                <c:formatCode>_-* #\ ##0_-;\-* #\ ##0_-;_-* "-"??_-;_-@_-</c:formatCode>
                <c:ptCount val="52"/>
                <c:pt idx="0">
                  <c:v>58015</c:v>
                </c:pt>
                <c:pt idx="1">
                  <c:v>125710</c:v>
                </c:pt>
                <c:pt idx="2">
                  <c:v>172151</c:v>
                </c:pt>
                <c:pt idx="3">
                  <c:v>287227</c:v>
                </c:pt>
                <c:pt idx="4">
                  <c:v>339834</c:v>
                </c:pt>
                <c:pt idx="5">
                  <c:v>472593</c:v>
                </c:pt>
                <c:pt idx="6">
                  <c:v>571675</c:v>
                </c:pt>
                <c:pt idx="7">
                  <c:v>712924</c:v>
                </c:pt>
                <c:pt idx="8">
                  <c:v>783466</c:v>
                </c:pt>
                <c:pt idx="9">
                  <c:v>908235</c:v>
                </c:pt>
                <c:pt idx="10">
                  <c:v>992899</c:v>
                </c:pt>
                <c:pt idx="11">
                  <c:v>1122918</c:v>
                </c:pt>
                <c:pt idx="12">
                  <c:v>1223150</c:v>
                </c:pt>
                <c:pt idx="13">
                  <c:v>1263792</c:v>
                </c:pt>
                <c:pt idx="14">
                  <c:v>1320619</c:v>
                </c:pt>
                <c:pt idx="15">
                  <c:v>1443446</c:v>
                </c:pt>
                <c:pt idx="16">
                  <c:v>1460995</c:v>
                </c:pt>
                <c:pt idx="17">
                  <c:v>1471650</c:v>
                </c:pt>
                <c:pt idx="18">
                  <c:v>1534073</c:v>
                </c:pt>
                <c:pt idx="19">
                  <c:v>1595577</c:v>
                </c:pt>
                <c:pt idx="20">
                  <c:v>1712460</c:v>
                </c:pt>
                <c:pt idx="21">
                  <c:v>1775163</c:v>
                </c:pt>
                <c:pt idx="22">
                  <c:v>1837866</c:v>
                </c:pt>
                <c:pt idx="23">
                  <c:v>1845569</c:v>
                </c:pt>
                <c:pt idx="24">
                  <c:v>1960572</c:v>
                </c:pt>
                <c:pt idx="25">
                  <c:v>2020579</c:v>
                </c:pt>
                <c:pt idx="26">
                  <c:v>2084889</c:v>
                </c:pt>
                <c:pt idx="27">
                  <c:v>2098932</c:v>
                </c:pt>
                <c:pt idx="28">
                  <c:v>2135252</c:v>
                </c:pt>
                <c:pt idx="29">
                  <c:v>2175860</c:v>
                </c:pt>
                <c:pt idx="30">
                  <c:v>2218661</c:v>
                </c:pt>
                <c:pt idx="31">
                  <c:v>2267281</c:v>
                </c:pt>
                <c:pt idx="32">
                  <c:v>2291937</c:v>
                </c:pt>
                <c:pt idx="33">
                  <c:v>2312834</c:v>
                </c:pt>
                <c:pt idx="34">
                  <c:v>2351865</c:v>
                </c:pt>
                <c:pt idx="35">
                  <c:v>2396744</c:v>
                </c:pt>
                <c:pt idx="36">
                  <c:v>2455012</c:v>
                </c:pt>
                <c:pt idx="37">
                  <c:v>2494866</c:v>
                </c:pt>
                <c:pt idx="38">
                  <c:v>2570103</c:v>
                </c:pt>
                <c:pt idx="39">
                  <c:v>2629341</c:v>
                </c:pt>
                <c:pt idx="40">
                  <c:v>2649757</c:v>
                </c:pt>
                <c:pt idx="41">
                  <c:v>2700796</c:v>
                </c:pt>
                <c:pt idx="42">
                  <c:v>2821965</c:v>
                </c:pt>
                <c:pt idx="43">
                  <c:v>2931288</c:v>
                </c:pt>
                <c:pt idx="44">
                  <c:v>3027567</c:v>
                </c:pt>
                <c:pt idx="45">
                  <c:v>3107272</c:v>
                </c:pt>
                <c:pt idx="46">
                  <c:v>3147718</c:v>
                </c:pt>
                <c:pt idx="47">
                  <c:v>3261075</c:v>
                </c:pt>
                <c:pt idx="48">
                  <c:v>3380430</c:v>
                </c:pt>
                <c:pt idx="49">
                  <c:v>3426593</c:v>
                </c:pt>
                <c:pt idx="50">
                  <c:v>3553602</c:v>
                </c:pt>
                <c:pt idx="51">
                  <c:v>3634577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B-425E-A643-0BC51A4FE27A}"/>
            </c:ext>
          </c:extLst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2020/2021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Sheet1!$M$2:$M$53</c:f>
              <c:numCache>
                <c:formatCode>_-* #\ ##0_-;\-* #\ ##0_-;_-* "-"??_-;_-@_-</c:formatCode>
                <c:ptCount val="52"/>
                <c:pt idx="0">
                  <c:v>1991</c:v>
                </c:pt>
                <c:pt idx="1">
                  <c:v>24948</c:v>
                </c:pt>
                <c:pt idx="2">
                  <c:v>51331</c:v>
                </c:pt>
                <c:pt idx="3">
                  <c:v>81805</c:v>
                </c:pt>
                <c:pt idx="4">
                  <c:v>161003</c:v>
                </c:pt>
                <c:pt idx="5">
                  <c:v>222093</c:v>
                </c:pt>
                <c:pt idx="6">
                  <c:v>317320</c:v>
                </c:pt>
                <c:pt idx="7">
                  <c:v>389635</c:v>
                </c:pt>
                <c:pt idx="8">
                  <c:v>519261</c:v>
                </c:pt>
                <c:pt idx="9">
                  <c:v>649374</c:v>
                </c:pt>
                <c:pt idx="10">
                  <c:v>749083</c:v>
                </c:pt>
                <c:pt idx="11">
                  <c:v>865839</c:v>
                </c:pt>
                <c:pt idx="12">
                  <c:v>987027</c:v>
                </c:pt>
                <c:pt idx="13">
                  <c:v>1058185</c:v>
                </c:pt>
                <c:pt idx="14">
                  <c:v>1137105</c:v>
                </c:pt>
                <c:pt idx="15">
                  <c:v>1151942</c:v>
                </c:pt>
                <c:pt idx="16">
                  <c:v>1184438</c:v>
                </c:pt>
                <c:pt idx="17">
                  <c:v>1265484</c:v>
                </c:pt>
                <c:pt idx="18">
                  <c:v>1311551</c:v>
                </c:pt>
                <c:pt idx="19">
                  <c:v>1422067</c:v>
                </c:pt>
                <c:pt idx="20">
                  <c:v>1456620</c:v>
                </c:pt>
                <c:pt idx="21">
                  <c:v>1482668</c:v>
                </c:pt>
                <c:pt idx="22">
                  <c:v>1501974</c:v>
                </c:pt>
                <c:pt idx="23">
                  <c:v>1526432</c:v>
                </c:pt>
                <c:pt idx="24">
                  <c:v>1562911</c:v>
                </c:pt>
                <c:pt idx="25">
                  <c:v>1612738</c:v>
                </c:pt>
                <c:pt idx="26">
                  <c:v>1668272</c:v>
                </c:pt>
                <c:pt idx="27">
                  <c:v>1693258</c:v>
                </c:pt>
                <c:pt idx="28">
                  <c:v>1719172</c:v>
                </c:pt>
                <c:pt idx="29">
                  <c:v>1749830</c:v>
                </c:pt>
                <c:pt idx="30">
                  <c:v>1783256</c:v>
                </c:pt>
                <c:pt idx="31">
                  <c:v>1812252</c:v>
                </c:pt>
                <c:pt idx="32">
                  <c:v>1842245</c:v>
                </c:pt>
                <c:pt idx="33">
                  <c:v>1867910</c:v>
                </c:pt>
                <c:pt idx="34">
                  <c:v>1886591</c:v>
                </c:pt>
                <c:pt idx="35">
                  <c:v>1898460</c:v>
                </c:pt>
                <c:pt idx="36">
                  <c:v>1926650</c:v>
                </c:pt>
                <c:pt idx="37">
                  <c:v>1958679</c:v>
                </c:pt>
                <c:pt idx="38">
                  <c:v>1994738</c:v>
                </c:pt>
                <c:pt idx="39">
                  <c:v>2032538</c:v>
                </c:pt>
                <c:pt idx="40">
                  <c:v>2062154</c:v>
                </c:pt>
                <c:pt idx="41">
                  <c:v>2110689</c:v>
                </c:pt>
                <c:pt idx="42">
                  <c:v>2174949</c:v>
                </c:pt>
                <c:pt idx="43">
                  <c:v>2211399</c:v>
                </c:pt>
                <c:pt idx="44">
                  <c:v>2244636</c:v>
                </c:pt>
                <c:pt idx="45">
                  <c:v>2279687</c:v>
                </c:pt>
                <c:pt idx="46">
                  <c:v>2310730</c:v>
                </c:pt>
                <c:pt idx="47">
                  <c:v>2344722</c:v>
                </c:pt>
                <c:pt idx="48">
                  <c:v>2375478</c:v>
                </c:pt>
                <c:pt idx="49">
                  <c:v>2423308</c:v>
                </c:pt>
                <c:pt idx="50">
                  <c:v>2449240</c:v>
                </c:pt>
                <c:pt idx="51">
                  <c:v>2495220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F2-4206-8B49-F95EEA9B7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29871"/>
        <c:axId val="1"/>
      </c:lineChart>
      <c:catAx>
        <c:axId val="146382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382987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93781919758643"/>
          <c:y val="0.95747983342518039"/>
          <c:w val="0.44469891716803589"/>
          <c:h val="3.02191510631664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" right="0.7" top="1.13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0" workbookViewId="0"/>
  </sheetViews>
  <pageMargins left="0.7" right="0.7" top="1.13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/>
  </sheetViews>
  <pageMargins left="0.25" right="0.25" top="0.75" bottom="0.75" header="0.3" footer="0.3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5" right="0.75" top="1.365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0" workbookViewId="0"/>
  </sheetViews>
  <pageMargins left="0.25" right="0.25" top="0.75" bottom="0.75" header="0.3" footer="0.3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0" workbookViewId="0"/>
  </sheetViews>
  <pageMargins left="0.25" right="0.25" top="0.75" bottom="0.75" header="0.3" footer="0.3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8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941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D88F85-D5A0-4EE2-BF3E-A4D0C0D900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4406" cy="58340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81B434-8F2A-456A-ADF2-6BDDE33F0D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9522" cy="63036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834D25-3BDC-4158-BDC7-76519AAD92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0.60945</cdr:x>
      <cdr:y>0.83449</cdr:y>
    </cdr:from>
    <cdr:to>
      <cdr:x>0.99076</cdr:x>
      <cdr:y>0.98187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1499" y="5296829"/>
          <a:ext cx="3259966" cy="672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941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9CAA4C-6F7E-4C83-9705-9304CCF51A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0.00624</cdr:x>
      <cdr:y>0.84455</cdr:y>
    </cdr:from>
    <cdr:to>
      <cdr:x>0.35285</cdr:x>
      <cdr:y>0.97239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986" y="5215518"/>
          <a:ext cx="2946803" cy="68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0.00875</cdr:x>
      <cdr:y>0.8605</cdr:y>
    </cdr:from>
    <cdr:to>
      <cdr:x>0.3515</cdr:x>
      <cdr:y>0.9899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311" y="5331677"/>
          <a:ext cx="2915579" cy="662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89281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190548-E655-4ED2-A60B-9317651F98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492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64B0EF-02A4-4EFF-894B-B581F0E593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489281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72437-F52B-4A60-8296-BA0205859D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489281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581276-4802-4A25-9303-FE5858FCCC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4406" cy="58340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04AAD4-F076-4D90-AD0C-38EE23C8FD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7"/>
  <sheetViews>
    <sheetView topLeftCell="A78" zoomScale="98" zoomScaleNormal="98" workbookViewId="0">
      <selection activeCell="P93" sqref="P93"/>
    </sheetView>
  </sheetViews>
  <sheetFormatPr defaultRowHeight="12.75" x14ac:dyDescent="0.2"/>
  <cols>
    <col min="1" max="1" width="31" customWidth="1"/>
    <col min="2" max="2" width="9.7109375" hidden="1" customWidth="1"/>
    <col min="3" max="4" width="10.85546875" customWidth="1"/>
    <col min="5" max="5" width="11.5703125" customWidth="1"/>
    <col min="6" max="9" width="11.28515625" customWidth="1"/>
    <col min="10" max="10" width="11.28515625" style="67" customWidth="1"/>
    <col min="11" max="14" width="11.28515625" customWidth="1"/>
    <col min="15" max="15" width="10.42578125" customWidth="1"/>
    <col min="16" max="16" width="48.28515625" customWidth="1"/>
    <col min="17" max="17" width="14" bestFit="1" customWidth="1"/>
    <col min="18" max="18" width="13.28515625" customWidth="1"/>
    <col min="19" max="19" width="12.140625" customWidth="1"/>
  </cols>
  <sheetData>
    <row r="1" spans="1:19" x14ac:dyDescent="0.2">
      <c r="A1" s="1" t="s">
        <v>247</v>
      </c>
      <c r="B1" s="1"/>
      <c r="C1" s="1"/>
      <c r="D1" s="1"/>
    </row>
    <row r="2" spans="1:19" x14ac:dyDescent="0.2">
      <c r="A2" s="1" t="s">
        <v>9</v>
      </c>
      <c r="B2" s="1"/>
      <c r="C2" s="1"/>
      <c r="D2" s="1"/>
    </row>
    <row r="4" spans="1:19" x14ac:dyDescent="0.2">
      <c r="A4" s="56" t="s">
        <v>248</v>
      </c>
      <c r="C4" s="57">
        <f>G6</f>
        <v>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9" ht="15" x14ac:dyDescent="0.25">
      <c r="B5" s="87"/>
      <c r="C5" s="87"/>
      <c r="D5" s="87"/>
      <c r="G5" s="109">
        <f>'Weekliks-Weekly'!B60</f>
        <v>45408</v>
      </c>
      <c r="H5" s="137"/>
      <c r="I5" s="135"/>
      <c r="J5" s="164"/>
      <c r="K5" s="135"/>
      <c r="L5" s="135"/>
      <c r="M5" s="135"/>
      <c r="N5" s="135"/>
    </row>
    <row r="6" spans="1:19" ht="15.75" thickBot="1" x14ac:dyDescent="0.3">
      <c r="A6" t="s">
        <v>59</v>
      </c>
      <c r="G6" s="110">
        <f>61-52</f>
        <v>9</v>
      </c>
      <c r="H6" s="138"/>
      <c r="I6" s="136"/>
      <c r="J6" s="165"/>
      <c r="K6" s="136"/>
      <c r="L6" s="136"/>
      <c r="M6" s="136"/>
      <c r="N6" s="136"/>
      <c r="P6" s="1" t="s">
        <v>91</v>
      </c>
    </row>
    <row r="7" spans="1:19" x14ac:dyDescent="0.2">
      <c r="A7" s="1" t="s">
        <v>1</v>
      </c>
      <c r="B7" s="1"/>
      <c r="C7" s="1"/>
      <c r="D7" s="1"/>
      <c r="H7" s="54"/>
      <c r="I7" s="54"/>
      <c r="K7" s="1"/>
      <c r="L7" s="1"/>
      <c r="M7" s="1"/>
      <c r="N7" s="1" t="s">
        <v>244</v>
      </c>
      <c r="P7" s="28"/>
      <c r="Q7" s="24" t="s">
        <v>10</v>
      </c>
      <c r="R7" s="24" t="s">
        <v>11</v>
      </c>
      <c r="S7" s="25" t="s">
        <v>40</v>
      </c>
    </row>
    <row r="8" spans="1:19" x14ac:dyDescent="0.2">
      <c r="B8" s="87" t="s">
        <v>104</v>
      </c>
      <c r="C8" s="87" t="s">
        <v>105</v>
      </c>
      <c r="D8" s="159" t="s">
        <v>108</v>
      </c>
      <c r="E8" s="159" t="s">
        <v>112</v>
      </c>
      <c r="F8" s="159" t="s">
        <v>111</v>
      </c>
      <c r="G8" s="159" t="s">
        <v>126</v>
      </c>
      <c r="H8" s="159" t="s">
        <v>223</v>
      </c>
      <c r="I8" s="159" t="s">
        <v>230</v>
      </c>
      <c r="J8" s="159" t="s">
        <v>240</v>
      </c>
      <c r="K8" s="159" t="s">
        <v>243</v>
      </c>
      <c r="L8" s="159" t="s">
        <v>246</v>
      </c>
      <c r="M8" s="159" t="s">
        <v>260</v>
      </c>
      <c r="N8" s="159" t="s">
        <v>268</v>
      </c>
      <c r="P8" s="29" t="s">
        <v>12</v>
      </c>
      <c r="Q8" s="23">
        <f>L14</f>
        <v>243807</v>
      </c>
      <c r="R8" s="23">
        <f>L61</f>
        <v>11468</v>
      </c>
      <c r="S8" s="30">
        <f>SUM(Q8:R8)</f>
        <v>255275</v>
      </c>
    </row>
    <row r="9" spans="1:19" ht="15" x14ac:dyDescent="0.25">
      <c r="A9" s="38" t="s">
        <v>241</v>
      </c>
      <c r="B9" s="38">
        <v>12890</v>
      </c>
      <c r="C9" s="22">
        <f>555+35+215+798+376+1230+1454+637+78+297+2470+1069+900+274+1664+770+1034+1133+619+2257+286+336+1270+651+215</f>
        <v>20623</v>
      </c>
      <c r="D9" s="103">
        <f>310+315+485+483+136+781+929+1115+929+274+489+464+499+314+31+92+958+612+186+204+101+54+15+40+507+874+516+444+556+597+322+1091+71+1512+1461+240+587+404</f>
        <v>18998</v>
      </c>
      <c r="E9" s="113">
        <f>12+298+655+339+517+859+944+725+1023+706+652+630+763+378+796+343+70+1276+548+1093+1440+713+671+448+1044+1460+870+286+1255+580+953+69+306+382+112+209+854+388+146+228+37+89+77</f>
        <v>25244</v>
      </c>
      <c r="F9" s="126">
        <f>154+354+25+1723+2524+137+2911+791+1087+914+613+1024+415+21+445+3901+1810+1615+553+1073+1035+655+837+142+34+34+34+68+67+103+238+735+1300+700+135+33+1118+172</f>
        <v>29530</v>
      </c>
      <c r="G9" s="139">
        <f>33+136+66+862+2158+1432+958+971+578+2133+1333+425+313+1664+99+584+139+1945+1676+1938+999+1073+1235+2290+1935+2241+1418+1755+929+869+980+1339+2426+847+1375+1542+2881+950+36+2985+574+861+1088+361+592</f>
        <v>53024</v>
      </c>
      <c r="H9" s="126">
        <f>872+296+560+500+1151+850+494+208+386+594+304+331+136+476+164+505+135+1296+221+309+549+549+757+67+177+155+218+141+1176+841+108+33+1752+412+2711+4+1074+1581+1126+788+721+1343+1431</f>
        <v>27502</v>
      </c>
      <c r="I9" s="126">
        <f>770+480+342+759+539+448+1521+102+277+776+674+918+1123+869+1388+1232+137+281+210</f>
        <v>12846</v>
      </c>
      <c r="J9" s="126">
        <f>1284+817+1781+1941+736+1642+1179+1117+1627+920+544+865+1321+1113+1613+900+74+502+954+1136+1391+2084+1981+1203+912+794+1636+688+485+410+137+645+993+803+68+196+474+1300+866+1114+858</f>
        <v>41104</v>
      </c>
      <c r="K9" s="126">
        <f>1113+1905+2432+1558+2242+923+1492+1044+1508+1695+70+2568+384+106+354+1328+1503+71+1031+1599+1981+1686+2265+820+1604+967+1269+777+937+912+1138+622+624+385+31+78+202+966+823+784+457+200+543+920+2431+1665+1444+1268+2074+780+34</f>
        <v>55613</v>
      </c>
      <c r="L9" s="126">
        <f>1369+1996+1830+1562+1510+952+980+798+949+841+932+1166+2085+1668+1915+871+1445+877+709+950+819+1958+1647+1294+1062+773+650+544+834+316+1169+505+608+341+476+36+35+107+481+312+278+546+1985+316+1142</f>
        <v>43639</v>
      </c>
      <c r="M9" s="126">
        <f>796+959+1083+1087+781+741+1747+683+740+1630+1930+1041+309+1218+2395+1827+1047+432+1269+671+944+1185+1417+1412+689+449+349+104+64+350+318+101+411+760+376+2917+1584+738+777</f>
        <v>37331</v>
      </c>
      <c r="N9" s="125">
        <f>1191+1942+1779+1711+1805+1035+928+686+708+1084+1776+2097+2229+1868+2863+3019+873+617+1006+1230+1692+2006+2573+1581+826+1056+1432+1822+861+373+365+1311+722+70+563+133+34+278+99+820+528+660+384+1802+1056+1254+967+998+533+1224+1924</f>
        <v>60394</v>
      </c>
      <c r="P9" s="29" t="s">
        <v>15</v>
      </c>
      <c r="Q9" s="23">
        <f>L10</f>
        <v>51700</v>
      </c>
      <c r="R9" s="23">
        <f>L57</f>
        <v>325</v>
      </c>
      <c r="S9" s="30">
        <f>SUM(Q9:R9)</f>
        <v>52025</v>
      </c>
    </row>
    <row r="10" spans="1:19" ht="15" x14ac:dyDescent="0.25">
      <c r="A10" s="38" t="s">
        <v>15</v>
      </c>
      <c r="B10" s="38">
        <v>139001</v>
      </c>
      <c r="C10" s="22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03">
        <f>1005+574+888+1545+1054+1089+1831+527+308+723+1365+2599+1095+181+749+2095+1761+310+483+1012+2552+836+792+46+1045+1775+1813+2506+2355+2536+1631+1949+560+1691+354+243+397+934+1291+1295+843</f>
        <v>48638</v>
      </c>
      <c r="E10" s="113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26">
        <f>2662+670+602+178+233+615+305+404+1201+2406+3246+1082+265+199+1168+1165+252+4875+2385+2481+1637+1305+1755+879+349+2365+823+150+1395+396+695+465+4284+3728+4148+3254+3005+2259+131+65+1421+292+401+863+527</f>
        <v>62986</v>
      </c>
      <c r="G10" s="139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26">
        <f>1042+1871+68+1351+1690+462+1146+655+1331+4101+787+657+1034+2469+842+751+324+1440+1084+1172+1119+1303+400+3049+1597+323+908+358+103+1306+897+2903+2644+1684+2076+2579+4785+5278+3395+3353+1515+522+962+952+1592+997+607+1420</f>
        <v>72904</v>
      </c>
      <c r="I10" s="126">
        <f>1011+307+396+1386+847+2003+1267+1319+880+2242+106+228+3566+7754+647+475+383+1225+32+12+1561+440+134+2177+633+229+563+2774+726+8+441+936+3133+308+668+1408</f>
        <v>42225</v>
      </c>
      <c r="J10" s="126">
        <f>418+864+132+1163+2075+1319+1638+1105+396+438+974+855+4699+1143+542+264+162+913+1314+2210+1641+1111+119+2004+584+969+1025+1632+609+210+1294+1906+1613+2457+2103+1430+1596+994+1934+879+52+654+1276+308+712</f>
        <v>51736</v>
      </c>
      <c r="K10" s="126">
        <f>572+543+613+137+475+2650+610+745+547+681+702+541+1348+1846+1524+1110+477+613+456+1507+839+1408+873+928+403+2276+997+519+2241+1339+1520+2342+3160+3125+2299+2261+1164+2291+2554+1496+1656+1776+1435+1128+721+170+1123+584+1641+532+306</f>
        <v>62804</v>
      </c>
      <c r="L10" s="126">
        <f>2229+1257+64+4840+936+1039+299+1832+1320+1848+567+1234+877+536+508+242+1340+1676+3426+1338+2294+1393+4050+1317+1348+1255+1436+1681+1500+1852+584+1209+1184+649+745+273+536+447+539</f>
        <v>51700</v>
      </c>
      <c r="M10" s="126">
        <f>482+1132+769+500+4924+920+1552+1359+2185+3945+1018+1005+648+3249+541+304+1662+55+447+11+683+680+710+2502+2753+2182+2660+1380+6034+2048+1353+767+1789+2086+307+646+509+2241+652+704+1939+302+2602+613+635+473+6680</f>
        <v>72638</v>
      </c>
      <c r="N10" s="125">
        <f>302+302+501+3937+1119+1564+1656+1091+4388+2771+757+3173+1028+1807+6723+1104+1129+635+3720+618+596+900+3177+1755+1789+1757+4469+880+440+6079+4660+488</f>
        <v>65315</v>
      </c>
      <c r="P10" s="29" t="s">
        <v>17</v>
      </c>
      <c r="Q10" s="23">
        <f>L13</f>
        <v>116174</v>
      </c>
      <c r="R10" s="23">
        <f>L60</f>
        <v>44097</v>
      </c>
      <c r="S10" s="30">
        <f>SUM(Q10:R10)</f>
        <v>160271</v>
      </c>
    </row>
    <row r="11" spans="1:19" ht="15" x14ac:dyDescent="0.25">
      <c r="A11" s="38" t="s">
        <v>18</v>
      </c>
      <c r="B11" s="38">
        <v>65301</v>
      </c>
      <c r="C11" s="22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03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13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26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39">
        <f>431+270+133+1268+1316+127+739+1238+1950+1733+535+1814+1038+1382+1576+1256+2107+5198+936+837+266+330+494+173+305+507+609+355+858+1696+1109+732+702+700+133+69+290+2375+1434+1378+814+796</f>
        <v>42009</v>
      </c>
      <c r="H11" s="126">
        <f>1279+1356+1272+1536+1223+938+1345+2014+1378+1453+871+540+1048+1710+2232+1230+1322+4341+711+1955+2480+1980+1616+1720+1444+1712+1524+2267+1224+1683+755+1243+1882+1544+1204+1062+1539+1775+846+481+240+242+574+89+406+1189+874+496+1552+893</f>
        <v>66290</v>
      </c>
      <c r="I11" s="126">
        <f>1302+1356+1057+911+2126+3328+2554+1801+1001+1317+1624+972+2157+1584+2024+1696+1660+1259+2004+1623+503+1134+1793+1384+1093+740+167+1093+1388+1316+807+1148+1349+602+1112+1127+928+678+1308+1232+914+2373+1562+1448</f>
        <v>60555</v>
      </c>
      <c r="J11" s="126">
        <f>1142+1863+1475+2922+3288+1905+13515+17930+5078+1331+2627+1868+4012+12941+2969+2813+1499+1585+1656+2832+1619+2163+2661+10670+15034+1945+3160+1655+1423+1484+1423+1046+6983+817+847+1222+1152+1276+1603+1088+962+1254+1891+885+538+841+1488+1084+1252+2307+1998+309</f>
        <v>159331</v>
      </c>
      <c r="K11" s="126">
        <f>505+1886+1543+1322+867+1729+2245+1497+1727+1810+2987+2303+1706+2352+2838+1385+1166+806+1555+2255+2443+2657+2514+3268+3257+2900+2867+2584+17097+6389+1451+1759+1711+1453+1402+1901+1950+1957+1039+4058+2191+4575+5843+5819+5925+4421+639+470+1053+725+557+570+165</f>
        <v>132094</v>
      </c>
      <c r="L11" s="126">
        <f>923+1201+644+1247+2142+1518+2185+1605+2726+1218+1473+1263+1194+2448+1710+2139+1229+962+1251+921+1098+1322+1801+1731+1578+1362+2339+1859+1678+2184+833+786+1161+2012+677+622+945+1250+1666+1806+813+1202+1330+1618+952+1441+1158+2097+1001+1695+1000</f>
        <v>73016</v>
      </c>
      <c r="M11" s="126">
        <f>1440+1950+1288+886+3106+1187+1020+618+1142+1597+1080+867+416+886+388+2744+713+629+1794+2671+2014+1396+1224+1351+582+693+1268+1005+903+1249+516+795+624+1096+1033+664+557+947+140+138+312+208+593+309+620+481+172+244+478+1237+1447+789</f>
        <v>51507</v>
      </c>
      <c r="N11" s="125">
        <f>1748+2172+750+1143+1745+861+1135+491+1821+1451+2214+2397+20934+4990+1926+1584+1075+23184+2924+2474+1967+2051+1622+1059+1152+1434+1466+1029+1239+1398+1103+1901+2194+1534+940+11815+10643+3854+1204+804+520+643+353+1707+1844+645+1045+593+742+587+1115+234</f>
        <v>137456</v>
      </c>
      <c r="P11" s="29" t="s">
        <v>13</v>
      </c>
      <c r="Q11" s="23">
        <f>L9</f>
        <v>43639</v>
      </c>
      <c r="R11" s="23">
        <f>L59</f>
        <v>99070</v>
      </c>
      <c r="S11" s="30">
        <f>SUM(Q11:R11)</f>
        <v>142709</v>
      </c>
    </row>
    <row r="12" spans="1:19" ht="15.6" customHeight="1" thickBot="1" x14ac:dyDescent="0.3">
      <c r="A12" s="38" t="s">
        <v>14</v>
      </c>
      <c r="B12" s="38">
        <v>352</v>
      </c>
      <c r="C12" s="22">
        <f>1189+572+171+1660+947+880+484+176</f>
        <v>6079</v>
      </c>
      <c r="D12" s="103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13">
        <f>508+74+792+2224+1364+682+2860+2552+2200+1185+836+1848+792+2508+1100+1232+2387+2288+1450+1844+0+2499+5101+5415+4184+4330+1500+650+2625+529</f>
        <v>57559</v>
      </c>
      <c r="F12" s="126">
        <f>632+740+1494+2640+2508+3651+4311+4224+3300+2728+1012+1760+3080+2420+1980</f>
        <v>36480</v>
      </c>
      <c r="G12" s="139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26">
        <f>35+36+109+109+1100+880+2156+1276+111+35+35+99+272+1185+3039</f>
        <v>10477</v>
      </c>
      <c r="I12" s="126"/>
      <c r="J12" s="126">
        <f>14517+8245+7549+14757+20712+13141+17226+21883+18560+15913+17442+21347+17457+13688+8650+6478+3984+3090+3118+2333+1651+1310+1036+2599+1300+34+135+34+64+906</f>
        <v>259159</v>
      </c>
      <c r="K12" s="126">
        <f>2500+5328+5722+6844+8526+9739+9804+10759+11770+11922+14951+10937+11128+13043+11144+10529+6482+2352+6063+3372+5783+6401+4836+6531+4476+5893+6546+3739+4408+2542+6351+7965+5352+5054+1015+1916+1076+714+1081+2696+2658+1637+3624+10591+7050+8426+16239+15758+14297+13408+9472+9166+938</f>
        <v>370554</v>
      </c>
      <c r="L12" s="126">
        <f>4+11+475+1256+921+1949</f>
        <v>4616</v>
      </c>
      <c r="M12" s="126">
        <f>7851+8066+4756+6449+15625+5016+7767+1712+5073+6849+4287+2709+2091+4576+2606+1536+3065+1547+1026+2328+489+452+3074+880+1364+2268+1891+596+1895+1257+1907+1312+1098+878</f>
        <v>114296</v>
      </c>
      <c r="N12" s="125">
        <f>10581+14410+19030+16685+15849+21319+20688+20084+19149+15232+21421+21554+23479+23036+21399+15464+10391+9034+9734+6612+8681+8487+8497+9114+7848+7775+9523+6610+8160+4768+4138+2747+44+23+133+197+700+3697+4116+4784+4137</f>
        <v>439330</v>
      </c>
      <c r="P12" s="31" t="s">
        <v>19</v>
      </c>
      <c r="Q12" s="32">
        <f>SUM(Q8:Q11)</f>
        <v>455320</v>
      </c>
      <c r="R12" s="32">
        <f>SUM(R8:R11)</f>
        <v>154960</v>
      </c>
      <c r="S12" s="33">
        <f>SUM(Q12:R12)</f>
        <v>610280</v>
      </c>
    </row>
    <row r="13" spans="1:19" ht="15" x14ac:dyDescent="0.25">
      <c r="A13" s="38" t="s">
        <v>17</v>
      </c>
      <c r="B13" s="38">
        <v>37759</v>
      </c>
      <c r="C13" s="22">
        <f>2765+2237+3193+2301+2796+3816+4022+4320+3409+7642+1250+4861+2643+4705+2924+2477+237+4181+1347+1484+1477+100+135+30+94+96+521+66+51+1045</f>
        <v>66225</v>
      </c>
      <c r="D13" s="103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13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26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39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26">
        <f>1687+3385+2873+1928+2386+3420+2940+2712+3185+2841+3423+3234+2791+3362+2478+120+118+62+150+94+58+90+10+60+89+120+91+175+116+59+55+59+86+1+89+28+342+236+236+637+1887+2007+2098+2196+2060</f>
        <v>56074</v>
      </c>
      <c r="I13" s="126">
        <f>2568+2374+2186+2379+1766+2725+2406+2926+70+509+1845+2782+2589+2892+2930+2633+1461+380+618+2939+1989</f>
        <v>42967</v>
      </c>
      <c r="J13" s="126">
        <f>3517+3879+3957+4004+5000+3363+3775+3529+3901+3568+4413+4917+4457+5537+5681+4505+1172+2180+4668+4435+4619+6554+4705+2767+3470+3741+4034+3500+3935+3419+3064+3441+3265+2245+2782+1618+2128+2158+2801+3665+2959+3507+2396+2173+2320+1927+1645+2048+2010+2536+1885+1510</f>
        <v>175285</v>
      </c>
      <c r="K13" s="126">
        <f>3471+4581+5195+3224+2506+4474+4111+3823+3044+3046+3356+3629+3516+4231+4386+3719+4230+599+282+3690+5693+3934+3532+3790+3553+3086+2308+2371+353+11+1991+263+1116+1498+1762+1263+1297+2818</f>
        <v>109752</v>
      </c>
      <c r="L13" s="126">
        <f>4072+4042+4174+4657+4550+5197+5577+6095+5816+5715+5855+4714+5545+6113+5182+4019+2584+1754+3756+4225+4447+4718+3166+2470+1663+36+104+257+2480+3191</f>
        <v>116174</v>
      </c>
      <c r="M13" s="126">
        <f>4356+5177+3969+4342+6952+4924+5495+5975+3719+4439+4394+4433+3467+4488+4822+5673+4281+1718+3665+5943+4702+2562+1882</f>
        <v>101378</v>
      </c>
      <c r="N13" s="125">
        <f>5520+6730+6906+4235+3330+6714+5374+5968+4911+5850+6320+5207+5507+5269+5663+5776+3624+696+4066+5153+6264+5626+5956+4555+4174+4571+4153+4522+4697+3536+4472+4582+3757+4292+1806+2592+2147+647+237+181+469+72</f>
        <v>176127</v>
      </c>
      <c r="P13" s="1"/>
      <c r="Q13" s="37"/>
      <c r="R13" s="37"/>
      <c r="S13" s="37"/>
    </row>
    <row r="14" spans="1:19" ht="15" x14ac:dyDescent="0.25">
      <c r="A14" s="38" t="s">
        <v>12</v>
      </c>
      <c r="B14" s="38">
        <v>149901</v>
      </c>
      <c r="C14" s="22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03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13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26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39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26">
        <f>3007+4110+4971+3808+3553+2800+3430+3887+3207+2524+2668+2243+1472+2345+1735+2174+1462+12702+3429+2448+3954+4393+3780+3461+4253+4893+3872+3638+2743+3955+3916+3760+3242+5267+4826+2993+3026+4443+3650+3324+4218+7366+3645+2813+2052+3533+5276+2692+2323+2085</f>
        <v>181367</v>
      </c>
      <c r="I14" s="126">
        <f>1933+2011+2398+2865+2906+3240+4204+5497+1426+923+5292+5533+2941+3777+4317+4240+3761+2989+4872+3468+3916+3197+4387+5413+3806+3871+3903+5623+3864+4182+2953+3365+3064+4208+3575+4467+4680+3888+3885+2546+4424+4367+4681+2492</f>
        <v>163350</v>
      </c>
      <c r="J14" s="126">
        <f>3745+4270+4366+5124+4249+4220+3764+3921+4161+3485+4053+4171+3907+5380+5677+5927+1487+2477+3778+3732+3912+4784+3696+3570+2492+3145+2814+1858+2061+3057+3607+5120+4180+2991+2952+3656+3899+3271+4230+4051+2677+3739+2260+4078+3844+3778+3241+3926+3672+3798+3702+1618</f>
        <v>191573</v>
      </c>
      <c r="K14" s="126">
        <f>3806+4771+4575+4022+3782+6748+5088+5584+2792+3942+4118+4036+2812+4211+5358+5037+4414+2172+2467+5254+4249+4293+5826+4388+3847+3307+5596+4558+5152+4695+2824+3860+4619+3734+4452+5457+5705+4687+4511+3141+3140+4563+4107+4352+16887+5203+5401+6064+4891+3817+3870+2156</f>
        <v>238341</v>
      </c>
      <c r="L14" s="126">
        <f>4685+4459+4350+4935+5192+4608+4987+4444+5630+3520+3852+5475+6873+6115+6038+4488+1519+3131+3092+3843+4824+6125+6235+5438+4905+5390+6237+5297+3594+981+3926+3876+5916+5619+5382+6716+4326+4680+6849+4415+6349+4562+3660+4424+4576+5146+3875+2721+6249+5303+4975</f>
        <v>243807</v>
      </c>
      <c r="M14" s="126">
        <f>2869+3416+2199+1532+2898+3663+3375+2821+4203+4694+4837+4508+5021+5502+4983+3663+1993+1860+3690+3428+3452+4837+3725+4551+3943+2949+4195+4379+5044+4201+3803+4920+4878+4251+3872+6035+5324+4229+3786+4945+6105+5597+4353+3712+5717+4273+3420+3636+4450+4125+3281+3642</f>
        <v>210785</v>
      </c>
      <c r="N14" s="125">
        <f>3822+5636+5637+3996+3996+4007+4685+4326+5677+7888+4701+4861+5055+5921+5401+6328+3851+1949+3715+3894+3665+3291+4403+6170+4239+3598+5161+6852+4496+4932+2398+5462+5762+3753+6318+4944+5685+5672+4083+4564+4146+4158+5092+7583+6020+6130+5776+5799+6686+5084+5806+3365</f>
        <v>256439</v>
      </c>
      <c r="P14" s="1"/>
      <c r="Q14" s="37"/>
      <c r="R14" s="37"/>
      <c r="S14" s="37"/>
    </row>
    <row r="15" spans="1:19" ht="15.75" thickBot="1" x14ac:dyDescent="0.3">
      <c r="A15" s="38" t="s">
        <v>69</v>
      </c>
      <c r="B15" s="38">
        <v>1162100</v>
      </c>
      <c r="C15" s="22">
        <f>41799+7929+33870+5287+34531+16808+21292+9016+33661+23950+35584+31309+33991+6700+29671+25192+50399+87300+26999+61633+74765+14729+81000+32550</f>
        <v>819965</v>
      </c>
      <c r="D15" s="103">
        <f>19803+18866+8186+31763+4804+33834+7893+28248+36700</f>
        <v>190097</v>
      </c>
      <c r="E15" s="113"/>
      <c r="F15" s="126"/>
      <c r="G15" s="139"/>
      <c r="H15" s="126"/>
      <c r="I15" s="126"/>
      <c r="J15" s="126"/>
      <c r="K15" s="126"/>
      <c r="L15" s="126"/>
      <c r="M15" s="126">
        <f>35493+5034+17540+27460+50100+18415+36121+17070+4251+7031+4718+29287+23558+20442+40400</f>
        <v>336920</v>
      </c>
      <c r="N15" s="125"/>
      <c r="P15" s="1" t="s">
        <v>86</v>
      </c>
    </row>
    <row r="16" spans="1:19" ht="15" x14ac:dyDescent="0.25">
      <c r="A16" s="38" t="s">
        <v>21</v>
      </c>
      <c r="B16" s="38"/>
      <c r="C16" s="23"/>
      <c r="D16" s="104">
        <v>2369</v>
      </c>
      <c r="E16" s="114"/>
      <c r="F16" s="127"/>
      <c r="G16" s="140"/>
      <c r="H16" s="127"/>
      <c r="I16" s="127"/>
      <c r="J16" s="126"/>
      <c r="K16" s="126"/>
      <c r="L16" s="126">
        <f>309+549+1195+652+858+515+4704+1034+241+483+692+340+342+276+1387+205+445+549+307+410+479+136+272+102+272+204+170+34+102</f>
        <v>17264</v>
      </c>
      <c r="M16" s="126">
        <v>0</v>
      </c>
      <c r="N16" s="125"/>
      <c r="P16" s="28"/>
      <c r="Q16" s="24" t="s">
        <v>10</v>
      </c>
      <c r="R16" s="24" t="s">
        <v>11</v>
      </c>
      <c r="S16" s="25" t="s">
        <v>40</v>
      </c>
    </row>
    <row r="17" spans="1:22" ht="15" x14ac:dyDescent="0.25">
      <c r="A17" s="38" t="s">
        <v>41</v>
      </c>
      <c r="B17" s="38"/>
      <c r="C17" s="22"/>
      <c r="D17" s="103"/>
      <c r="E17" s="113"/>
      <c r="F17" s="126"/>
      <c r="G17" s="139"/>
      <c r="H17" s="126"/>
      <c r="I17" s="126"/>
      <c r="J17" s="126"/>
      <c r="K17" s="126"/>
      <c r="L17" s="126"/>
      <c r="M17" s="126"/>
      <c r="N17" s="125"/>
      <c r="P17" s="29" t="s">
        <v>87</v>
      </c>
      <c r="Q17" s="97">
        <f>L9+L10+L11+L12+L13+L14</f>
        <v>532952</v>
      </c>
      <c r="R17" s="97">
        <f>L57+L58+L59+L60+L61+L65+L89+L86</f>
        <v>214392</v>
      </c>
      <c r="S17" s="30">
        <f>SUM(Q17:R17)</f>
        <v>747344</v>
      </c>
      <c r="U17" s="2"/>
      <c r="V17" s="2"/>
    </row>
    <row r="18" spans="1:22" ht="15" x14ac:dyDescent="0.25">
      <c r="A18" s="38" t="s">
        <v>79</v>
      </c>
      <c r="B18" s="38"/>
      <c r="C18" s="22"/>
      <c r="D18" s="103"/>
      <c r="E18" s="113"/>
      <c r="F18" s="126"/>
      <c r="G18" s="139"/>
      <c r="H18" s="126"/>
      <c r="I18" s="126"/>
      <c r="J18" s="126"/>
      <c r="K18" s="126"/>
      <c r="L18" s="126"/>
      <c r="M18" s="126"/>
      <c r="N18" s="125"/>
      <c r="P18" s="59" t="s">
        <v>226</v>
      </c>
      <c r="Q18" s="97">
        <f>L35</f>
        <v>174382</v>
      </c>
      <c r="R18" s="97">
        <f>L62+L63+L73+L88+L91+L93</f>
        <v>2652412</v>
      </c>
      <c r="S18" s="30">
        <f>SUM(Q18:R18)</f>
        <v>2826794</v>
      </c>
    </row>
    <row r="19" spans="1:22" ht="15.75" thickBot="1" x14ac:dyDescent="0.3">
      <c r="A19" s="38" t="s">
        <v>42</v>
      </c>
      <c r="B19" s="38"/>
      <c r="C19" s="22"/>
      <c r="D19" s="103">
        <v>1058</v>
      </c>
      <c r="E19" s="113"/>
      <c r="F19" s="126"/>
      <c r="G19" s="139"/>
      <c r="H19" s="126"/>
      <c r="I19" s="126"/>
      <c r="J19" s="126"/>
      <c r="K19" s="126"/>
      <c r="L19" s="126"/>
      <c r="M19" s="126"/>
      <c r="N19" s="125"/>
      <c r="P19" s="31" t="s">
        <v>19</v>
      </c>
      <c r="Q19" s="32">
        <f>SUM(Q17:Q18)</f>
        <v>707334</v>
      </c>
      <c r="R19" s="32">
        <f>SUM(R17:R18)</f>
        <v>2866804</v>
      </c>
      <c r="S19" s="33">
        <f>SUM(Q19:R19)</f>
        <v>3574138</v>
      </c>
    </row>
    <row r="20" spans="1:22" ht="15" x14ac:dyDescent="0.25">
      <c r="A20" s="38" t="s">
        <v>76</v>
      </c>
      <c r="B20" s="38"/>
      <c r="C20" s="22">
        <f>43+774+645</f>
        <v>1462</v>
      </c>
      <c r="D20" s="103"/>
      <c r="E20" s="113"/>
      <c r="F20" s="126"/>
      <c r="G20" s="139"/>
      <c r="H20" s="126"/>
      <c r="I20" s="126"/>
      <c r="J20" s="126"/>
      <c r="K20" s="126"/>
      <c r="L20" s="126"/>
      <c r="M20" s="126"/>
      <c r="N20" s="125"/>
      <c r="P20" s="1"/>
      <c r="Q20" s="37"/>
      <c r="R20" s="37"/>
      <c r="S20" s="37"/>
    </row>
    <row r="21" spans="1:22" ht="15" x14ac:dyDescent="0.25">
      <c r="A21" s="38" t="s">
        <v>68</v>
      </c>
      <c r="B21" s="38"/>
      <c r="C21" s="22"/>
      <c r="D21" s="103"/>
      <c r="E21" s="113"/>
      <c r="F21" s="126"/>
      <c r="G21" s="139"/>
      <c r="H21" s="126"/>
      <c r="I21" s="126"/>
      <c r="J21" s="126"/>
      <c r="K21" s="126"/>
      <c r="L21" s="126"/>
      <c r="M21" s="126"/>
      <c r="N21" s="125"/>
      <c r="P21" s="1"/>
      <c r="Q21" s="37"/>
      <c r="R21" s="37"/>
      <c r="S21" s="37"/>
    </row>
    <row r="22" spans="1:22" ht="15" x14ac:dyDescent="0.25">
      <c r="A22" s="38" t="s">
        <v>77</v>
      </c>
      <c r="B22" s="38"/>
      <c r="C22" s="22"/>
      <c r="D22" s="103"/>
      <c r="E22" s="113"/>
      <c r="F22" s="126"/>
      <c r="G22" s="139"/>
      <c r="H22" s="126"/>
      <c r="I22" s="126"/>
      <c r="J22" s="126"/>
      <c r="K22" s="126"/>
      <c r="L22" s="126"/>
      <c r="M22" s="126"/>
      <c r="N22" s="125"/>
      <c r="P22" s="1"/>
      <c r="Q22" s="37"/>
      <c r="R22" s="37"/>
      <c r="S22" s="37"/>
    </row>
    <row r="23" spans="1:22" ht="15" x14ac:dyDescent="0.25">
      <c r="A23" s="38" t="s">
        <v>61</v>
      </c>
      <c r="B23" s="38"/>
      <c r="C23" s="22"/>
      <c r="D23" s="103"/>
      <c r="E23" s="113"/>
      <c r="F23" s="126"/>
      <c r="G23" s="139"/>
      <c r="H23" s="126"/>
      <c r="I23" s="126"/>
      <c r="J23" s="126"/>
      <c r="K23" s="126"/>
      <c r="L23" s="126"/>
      <c r="M23" s="126"/>
      <c r="N23" s="125"/>
      <c r="P23" s="1"/>
      <c r="Q23" s="37"/>
      <c r="R23" s="37"/>
      <c r="S23" s="37"/>
    </row>
    <row r="24" spans="1:22" ht="15.75" thickBot="1" x14ac:dyDescent="0.3">
      <c r="A24" s="38" t="s">
        <v>242</v>
      </c>
      <c r="B24" s="38"/>
      <c r="C24" s="22"/>
      <c r="D24" s="103"/>
      <c r="E24" s="113"/>
      <c r="F24" s="126"/>
      <c r="G24" s="139"/>
      <c r="H24" s="126"/>
      <c r="I24" s="126"/>
      <c r="J24" s="126"/>
      <c r="K24" s="126"/>
      <c r="L24" s="126"/>
      <c r="M24" s="126"/>
      <c r="N24" s="125"/>
      <c r="P24" s="77"/>
      <c r="Q24" s="78"/>
      <c r="R24" s="78"/>
      <c r="S24" s="78"/>
    </row>
    <row r="25" spans="1:22" ht="15" x14ac:dyDescent="0.25">
      <c r="A25" s="38" t="s">
        <v>72</v>
      </c>
      <c r="B25" s="38"/>
      <c r="C25" s="22"/>
      <c r="D25" s="103"/>
      <c r="E25" s="113"/>
      <c r="F25" s="126"/>
      <c r="G25" s="139"/>
      <c r="H25" s="126"/>
      <c r="I25" s="126">
        <f>38509</f>
        <v>38509</v>
      </c>
      <c r="J25" s="126">
        <f>35521+14360+24140</f>
        <v>74021</v>
      </c>
      <c r="K25" s="126">
        <f>20014</f>
        <v>20014</v>
      </c>
      <c r="L25" s="126"/>
      <c r="M25" s="126"/>
      <c r="N25" s="125"/>
      <c r="P25" s="208" t="s">
        <v>130</v>
      </c>
      <c r="Q25" s="24" t="s">
        <v>45</v>
      </c>
      <c r="R25" s="24" t="s">
        <v>46</v>
      </c>
      <c r="S25" s="25" t="s">
        <v>19</v>
      </c>
    </row>
    <row r="26" spans="1:22" ht="15" x14ac:dyDescent="0.25">
      <c r="A26" s="38" t="s">
        <v>38</v>
      </c>
      <c r="B26" s="38"/>
      <c r="C26" s="22"/>
      <c r="D26" s="103"/>
      <c r="E26" s="113"/>
      <c r="F26" s="126"/>
      <c r="G26" s="139"/>
      <c r="H26" s="126"/>
      <c r="I26" s="126"/>
      <c r="J26" s="126"/>
      <c r="K26" s="126"/>
      <c r="L26" s="126"/>
      <c r="M26" s="126"/>
      <c r="N26" s="125">
        <f>2051+1967</f>
        <v>4018</v>
      </c>
      <c r="P26" s="209"/>
      <c r="Q26" s="128">
        <f>H53/(52-Q35)</f>
        <v>17906.348837209302</v>
      </c>
      <c r="R26" s="128">
        <f>H95/(52-Q35)</f>
        <v>34341.883720930229</v>
      </c>
      <c r="S26" s="111">
        <f>H96/(52-Q35)</f>
        <v>52248.232558139534</v>
      </c>
    </row>
    <row r="27" spans="1:22" ht="15.75" thickBot="1" x14ac:dyDescent="0.3">
      <c r="A27" s="38" t="s">
        <v>22</v>
      </c>
      <c r="B27" s="38"/>
      <c r="C27" s="22"/>
      <c r="D27" s="103"/>
      <c r="E27" s="113"/>
      <c r="F27" s="126"/>
      <c r="G27" s="139"/>
      <c r="H27" s="126">
        <f>22591+20001+24996+71010+552+706+38442+38518+30434</f>
        <v>247250</v>
      </c>
      <c r="I27" s="126"/>
      <c r="J27" s="126"/>
      <c r="K27" s="126"/>
      <c r="L27" s="126"/>
      <c r="M27" s="126">
        <f>48868+20906+6367+4974+4170+1761</f>
        <v>87046</v>
      </c>
      <c r="N27" s="125">
        <f>143+2407+108+5494+6813+3480+4910+5719+17750+4637+2757+4114+6361+3099</f>
        <v>67792</v>
      </c>
      <c r="P27" s="84" t="s">
        <v>101</v>
      </c>
      <c r="Q27" s="82">
        <f>Q26*52</f>
        <v>931130.13953488367</v>
      </c>
      <c r="R27" s="82">
        <f>R26*52</f>
        <v>1785777.9534883718</v>
      </c>
      <c r="S27" s="83">
        <f>Q27+R27</f>
        <v>2716908.0930232555</v>
      </c>
    </row>
    <row r="28" spans="1:22" ht="15" x14ac:dyDescent="0.25">
      <c r="A28" s="38" t="s">
        <v>109</v>
      </c>
      <c r="B28" s="38">
        <v>45234</v>
      </c>
      <c r="C28" s="22">
        <f>9621+39629+997</f>
        <v>50247</v>
      </c>
      <c r="D28" s="103"/>
      <c r="E28" s="113">
        <f>1687+1690+723+731+326+408</f>
        <v>5565</v>
      </c>
      <c r="F28" s="126"/>
      <c r="G28" s="139"/>
      <c r="H28" s="126"/>
      <c r="I28" s="126"/>
      <c r="J28" s="126"/>
      <c r="K28" s="126"/>
      <c r="L28" s="126"/>
      <c r="M28" s="126">
        <f>24664+19336+26509+24991</f>
        <v>95500</v>
      </c>
      <c r="N28" s="125"/>
      <c r="P28" s="67" t="s">
        <v>100</v>
      </c>
      <c r="Q28" s="51"/>
      <c r="R28" s="51"/>
    </row>
    <row r="29" spans="1:22" ht="15" x14ac:dyDescent="0.25">
      <c r="A29" s="38" t="s">
        <v>39</v>
      </c>
      <c r="B29" s="38"/>
      <c r="C29" s="22"/>
      <c r="D29" s="103"/>
      <c r="E29" s="113"/>
      <c r="F29" s="126"/>
      <c r="G29" s="139"/>
      <c r="H29" s="126"/>
      <c r="I29" s="126"/>
      <c r="J29" s="126"/>
      <c r="K29" s="126"/>
      <c r="L29" s="126"/>
      <c r="M29" s="126"/>
      <c r="N29" s="125"/>
      <c r="Q29" s="51"/>
      <c r="R29" s="51"/>
    </row>
    <row r="30" spans="1:22" ht="15.75" thickBot="1" x14ac:dyDescent="0.3">
      <c r="A30" s="38" t="s">
        <v>60</v>
      </c>
      <c r="B30" s="38"/>
      <c r="C30" s="22"/>
      <c r="D30" s="103"/>
      <c r="E30" s="113"/>
      <c r="F30" s="126"/>
      <c r="G30" s="139"/>
      <c r="H30" s="126"/>
      <c r="I30" s="126"/>
      <c r="J30" s="126"/>
      <c r="K30" s="126"/>
      <c r="L30" s="126"/>
      <c r="M30" s="126"/>
      <c r="N30" s="125"/>
      <c r="P30" s="1" t="s">
        <v>54</v>
      </c>
    </row>
    <row r="31" spans="1:22" ht="15" x14ac:dyDescent="0.25">
      <c r="A31" s="38" t="s">
        <v>4</v>
      </c>
      <c r="B31" s="38"/>
      <c r="C31" s="22"/>
      <c r="D31" s="103"/>
      <c r="E31" s="113"/>
      <c r="F31" s="126"/>
      <c r="G31" s="139">
        <f>134+238+65+100+133+165+357+229+316+604+29+457</f>
        <v>2827</v>
      </c>
      <c r="H31" s="126"/>
      <c r="I31" s="126"/>
      <c r="J31" s="126"/>
      <c r="K31" s="126"/>
      <c r="L31" s="126"/>
      <c r="M31" s="126"/>
      <c r="N31" s="125"/>
      <c r="P31" s="34"/>
      <c r="Q31" s="24" t="s">
        <v>47</v>
      </c>
      <c r="R31" s="24" t="s">
        <v>97</v>
      </c>
      <c r="S31" s="25" t="s">
        <v>52</v>
      </c>
    </row>
    <row r="32" spans="1:22" ht="15" x14ac:dyDescent="0.25">
      <c r="A32" s="38" t="s">
        <v>102</v>
      </c>
      <c r="B32" s="38"/>
      <c r="C32" s="22">
        <f>817+559+516+967</f>
        <v>2859</v>
      </c>
      <c r="D32" s="103"/>
      <c r="E32" s="113"/>
      <c r="F32" s="126"/>
      <c r="G32" s="139"/>
      <c r="H32" s="126"/>
      <c r="I32" s="126"/>
      <c r="J32" s="126"/>
      <c r="K32" s="126"/>
      <c r="L32" s="126"/>
      <c r="M32" s="126"/>
      <c r="N32" s="125"/>
      <c r="P32" s="40" t="s">
        <v>48</v>
      </c>
      <c r="Q32" s="96">
        <v>2000000</v>
      </c>
      <c r="R32" s="96">
        <v>2650000</v>
      </c>
      <c r="S32" s="98">
        <v>2700000</v>
      </c>
      <c r="V32" s="67"/>
    </row>
    <row r="33" spans="1:19" ht="15" x14ac:dyDescent="0.25">
      <c r="A33" s="38" t="s">
        <v>90</v>
      </c>
      <c r="B33" s="38"/>
      <c r="C33" s="22"/>
      <c r="D33" s="103"/>
      <c r="E33" s="113"/>
      <c r="F33" s="126"/>
      <c r="G33" s="139"/>
      <c r="H33" s="126"/>
      <c r="I33" s="126"/>
      <c r="J33" s="126"/>
      <c r="K33" s="126"/>
      <c r="L33" s="126"/>
      <c r="M33" s="126">
        <f>24024+28476</f>
        <v>52500</v>
      </c>
      <c r="N33" s="125"/>
      <c r="P33" s="59" t="s">
        <v>129</v>
      </c>
      <c r="Q33" s="22">
        <f>H53</f>
        <v>769973</v>
      </c>
      <c r="R33" s="22">
        <f>H53</f>
        <v>769973</v>
      </c>
      <c r="S33" s="35">
        <f>H53</f>
        <v>769973</v>
      </c>
    </row>
    <row r="34" spans="1:19" ht="15" x14ac:dyDescent="0.25">
      <c r="A34" s="38" t="s">
        <v>88</v>
      </c>
      <c r="B34" s="38"/>
      <c r="C34" s="22"/>
      <c r="D34" s="103"/>
      <c r="E34" s="113"/>
      <c r="F34" s="126"/>
      <c r="G34" s="139"/>
      <c r="H34" s="126"/>
      <c r="I34" s="126"/>
      <c r="J34" s="126"/>
      <c r="K34" s="126"/>
      <c r="L34" s="126"/>
      <c r="M34" s="126"/>
      <c r="N34" s="125"/>
      <c r="P34" s="29" t="s">
        <v>49</v>
      </c>
      <c r="Q34" s="22">
        <f>Q32-Q33</f>
        <v>1230027</v>
      </c>
      <c r="R34" s="22">
        <f>R32-R33</f>
        <v>1880027</v>
      </c>
      <c r="S34" s="35">
        <f>S32-S33</f>
        <v>1930027</v>
      </c>
    </row>
    <row r="35" spans="1:19" ht="15" x14ac:dyDescent="0.25">
      <c r="A35" s="38" t="s">
        <v>85</v>
      </c>
      <c r="B35" s="38">
        <v>68005</v>
      </c>
      <c r="C35" s="22">
        <f>27700+33176</f>
        <v>60876</v>
      </c>
      <c r="D35" s="103"/>
      <c r="E35" s="113"/>
      <c r="F35" s="126"/>
      <c r="G35" s="139"/>
      <c r="H35" s="126"/>
      <c r="I35" s="126">
        <f>29110+14968+19022+27529</f>
        <v>90629</v>
      </c>
      <c r="J35" s="126"/>
      <c r="K35" s="126">
        <f>26114+6536+29628+17007+22887+25729</f>
        <v>127901</v>
      </c>
      <c r="L35" s="126">
        <f>36387+12000+29972+14028+11250+31298+39447</f>
        <v>174382</v>
      </c>
      <c r="M35" s="126">
        <f>47500+31566+12434+41651+12405+27595+44000+45060</f>
        <v>262211</v>
      </c>
      <c r="N35" s="125"/>
      <c r="P35" s="29" t="s">
        <v>50</v>
      </c>
      <c r="Q35" s="22">
        <f>G6</f>
        <v>9</v>
      </c>
      <c r="R35" s="22">
        <f>$Q$35</f>
        <v>9</v>
      </c>
      <c r="S35" s="35">
        <f>$Q$35</f>
        <v>9</v>
      </c>
    </row>
    <row r="36" spans="1:19" ht="15.75" thickBot="1" x14ac:dyDescent="0.3">
      <c r="A36" s="38" t="s">
        <v>67</v>
      </c>
      <c r="B36" s="38">
        <v>19442</v>
      </c>
      <c r="C36" s="22"/>
      <c r="D36" s="103"/>
      <c r="E36" s="113"/>
      <c r="F36" s="126"/>
      <c r="G36" s="139"/>
      <c r="H36" s="126">
        <f>480</f>
        <v>480</v>
      </c>
      <c r="I36" s="126"/>
      <c r="J36" s="126">
        <f>22900</f>
        <v>22900</v>
      </c>
      <c r="K36" s="126"/>
      <c r="L36" s="126"/>
      <c r="M36" s="126"/>
      <c r="N36" s="125"/>
      <c r="P36" s="36" t="s">
        <v>51</v>
      </c>
      <c r="Q36" s="26">
        <f>Q34/Q35</f>
        <v>136669.66666666666</v>
      </c>
      <c r="R36" s="26">
        <f>R34/R35</f>
        <v>208891.88888888888</v>
      </c>
      <c r="S36" s="27">
        <f>S34/S35</f>
        <v>214447.44444444444</v>
      </c>
    </row>
    <row r="37" spans="1:19" ht="15" x14ac:dyDescent="0.25">
      <c r="A37" s="38" t="s">
        <v>43</v>
      </c>
      <c r="B37" s="38"/>
      <c r="C37" s="22"/>
      <c r="D37" s="103"/>
      <c r="E37" s="113"/>
      <c r="F37" s="126"/>
      <c r="G37" s="139"/>
      <c r="H37" s="126"/>
      <c r="I37" s="126"/>
      <c r="J37" s="126"/>
      <c r="K37" s="126"/>
      <c r="L37" s="126"/>
      <c r="M37" s="126"/>
      <c r="N37" s="125"/>
      <c r="Q37" s="52"/>
      <c r="R37" s="37"/>
      <c r="S37" s="52"/>
    </row>
    <row r="38" spans="1:19" ht="15" x14ac:dyDescent="0.25">
      <c r="A38" s="38" t="s">
        <v>74</v>
      </c>
      <c r="B38" s="38"/>
      <c r="C38" s="22"/>
      <c r="D38" s="103"/>
      <c r="E38" s="113"/>
      <c r="F38" s="126"/>
      <c r="G38" s="139"/>
      <c r="H38" s="126"/>
      <c r="I38" s="126"/>
      <c r="J38" s="126"/>
      <c r="K38" s="126"/>
      <c r="L38" s="126"/>
      <c r="M38" s="126"/>
      <c r="N38" s="125"/>
      <c r="P38" s="80" t="s">
        <v>96</v>
      </c>
      <c r="Q38" s="52"/>
      <c r="R38" s="37"/>
      <c r="S38" s="52"/>
    </row>
    <row r="39" spans="1:19" ht="15" x14ac:dyDescent="0.25">
      <c r="A39" s="38" t="s">
        <v>228</v>
      </c>
      <c r="B39" s="38"/>
      <c r="C39" s="22"/>
      <c r="D39" s="103"/>
      <c r="E39" s="113"/>
      <c r="F39" s="126"/>
      <c r="G39" s="139"/>
      <c r="H39" s="126"/>
      <c r="I39" s="126"/>
      <c r="J39" s="126"/>
      <c r="K39" s="126"/>
      <c r="L39" s="126"/>
      <c r="M39" s="126"/>
      <c r="N39" s="125"/>
      <c r="P39" s="80"/>
      <c r="Q39" s="52"/>
      <c r="R39" s="37"/>
      <c r="S39" s="52"/>
    </row>
    <row r="40" spans="1:19" ht="15" x14ac:dyDescent="0.25">
      <c r="A40" s="38" t="s">
        <v>25</v>
      </c>
      <c r="B40" s="38">
        <v>258</v>
      </c>
      <c r="C40" s="22"/>
      <c r="D40" s="103"/>
      <c r="E40" s="113"/>
      <c r="F40" s="126"/>
      <c r="G40" s="139"/>
      <c r="H40" s="126"/>
      <c r="I40" s="126"/>
      <c r="J40" s="126"/>
      <c r="K40" s="126"/>
      <c r="L40" s="126"/>
      <c r="M40" s="126"/>
      <c r="N40" s="125"/>
      <c r="P40" s="80" t="s">
        <v>99</v>
      </c>
      <c r="Q40" s="52"/>
      <c r="R40" s="37"/>
      <c r="S40" s="52"/>
    </row>
    <row r="41" spans="1:19" ht="15" x14ac:dyDescent="0.25">
      <c r="A41" s="38" t="s">
        <v>82</v>
      </c>
      <c r="B41" s="38"/>
      <c r="C41" s="22"/>
      <c r="D41" s="103"/>
      <c r="E41" s="113"/>
      <c r="F41" s="126"/>
      <c r="G41" s="139"/>
      <c r="H41" s="126">
        <f>5820+44789+22</f>
        <v>50631</v>
      </c>
      <c r="I41" s="126">
        <f>1496+16080</f>
        <v>17576</v>
      </c>
      <c r="J41" s="126"/>
      <c r="K41" s="126"/>
      <c r="L41" s="126"/>
      <c r="M41" s="126"/>
      <c r="N41" s="125"/>
      <c r="P41" s="80"/>
      <c r="Q41" s="52"/>
      <c r="R41" s="37"/>
      <c r="S41" s="52"/>
    </row>
    <row r="42" spans="1:19" ht="15" x14ac:dyDescent="0.25">
      <c r="A42" s="38" t="s">
        <v>89</v>
      </c>
      <c r="B42" s="38"/>
      <c r="C42" s="22"/>
      <c r="D42" s="103"/>
      <c r="E42" s="113"/>
      <c r="F42" s="126"/>
      <c r="G42" s="139"/>
      <c r="H42" s="126"/>
      <c r="I42" s="126"/>
      <c r="J42" s="126"/>
      <c r="K42" s="126"/>
      <c r="L42" s="126"/>
      <c r="M42" s="126"/>
      <c r="N42" s="125"/>
      <c r="Q42" s="52"/>
      <c r="R42" s="52"/>
      <c r="S42" s="52"/>
    </row>
    <row r="43" spans="1:19" ht="15" x14ac:dyDescent="0.25">
      <c r="A43" s="38" t="s">
        <v>23</v>
      </c>
      <c r="B43" s="38"/>
      <c r="C43" s="22"/>
      <c r="D43" s="103"/>
      <c r="E43" s="113"/>
      <c r="F43" s="126"/>
      <c r="G43" s="139">
        <f>10105</f>
        <v>10105</v>
      </c>
      <c r="H43" s="126"/>
      <c r="I43" s="126"/>
      <c r="J43" s="126">
        <f>10100+12982</f>
        <v>23082</v>
      </c>
      <c r="K43" s="126"/>
      <c r="L43" s="126"/>
      <c r="M43" s="126"/>
      <c r="N43" s="125"/>
      <c r="Q43" s="52"/>
      <c r="R43" s="52"/>
      <c r="S43" s="52"/>
    </row>
    <row r="44" spans="1:19" ht="15" x14ac:dyDescent="0.25">
      <c r="A44" s="38" t="s">
        <v>261</v>
      </c>
      <c r="B44" s="38"/>
      <c r="C44" s="22"/>
      <c r="D44" s="103"/>
      <c r="E44" s="113"/>
      <c r="F44" s="126"/>
      <c r="G44" s="139"/>
      <c r="H44" s="126"/>
      <c r="I44" s="126"/>
      <c r="J44" s="126"/>
      <c r="K44" s="126"/>
      <c r="L44" s="126"/>
      <c r="M44" s="126">
        <f>21+21</f>
        <v>42</v>
      </c>
      <c r="N44" s="125"/>
      <c r="Q44" s="52"/>
      <c r="R44" s="52"/>
      <c r="S44" s="52"/>
    </row>
    <row r="45" spans="1:19" ht="15" x14ac:dyDescent="0.25">
      <c r="A45" s="178" t="s">
        <v>21</v>
      </c>
      <c r="B45" s="38"/>
      <c r="C45" s="22"/>
      <c r="D45" s="103"/>
      <c r="E45" s="113"/>
      <c r="F45" s="126"/>
      <c r="G45" s="139"/>
      <c r="H45" s="126"/>
      <c r="I45" s="126"/>
      <c r="J45" s="126"/>
      <c r="K45" s="126"/>
      <c r="L45" s="126"/>
      <c r="M45" s="126"/>
      <c r="N45" s="125">
        <f>35+70</f>
        <v>105</v>
      </c>
      <c r="Q45" s="52"/>
      <c r="R45" s="52"/>
      <c r="S45" s="52"/>
    </row>
    <row r="46" spans="1:19" ht="15" x14ac:dyDescent="0.25">
      <c r="A46" s="38" t="s">
        <v>262</v>
      </c>
      <c r="B46" s="38"/>
      <c r="C46" s="22"/>
      <c r="D46" s="103"/>
      <c r="E46" s="113"/>
      <c r="F46" s="126"/>
      <c r="G46" s="139"/>
      <c r="H46" s="126"/>
      <c r="I46" s="126"/>
      <c r="J46" s="126"/>
      <c r="K46" s="126"/>
      <c r="L46" s="126"/>
      <c r="M46" s="126">
        <f>1811+20000+25000</f>
        <v>46811</v>
      </c>
      <c r="N46" s="125"/>
      <c r="Q46" s="52"/>
      <c r="R46" s="52"/>
      <c r="S46" s="52"/>
    </row>
    <row r="47" spans="1:19" ht="15" x14ac:dyDescent="0.25">
      <c r="A47" s="38" t="s">
        <v>263</v>
      </c>
      <c r="B47" s="38"/>
      <c r="C47" s="22"/>
      <c r="D47" s="103"/>
      <c r="E47" s="113"/>
      <c r="F47" s="126"/>
      <c r="G47" s="139"/>
      <c r="H47" s="126"/>
      <c r="I47" s="126"/>
      <c r="J47" s="126"/>
      <c r="K47" s="126"/>
      <c r="L47" s="126"/>
      <c r="M47" s="126">
        <f>4811+17000</f>
        <v>21811</v>
      </c>
      <c r="N47" s="125">
        <f>23327+19443</f>
        <v>42770</v>
      </c>
      <c r="Q47" s="52"/>
      <c r="R47" s="52"/>
      <c r="S47" s="52"/>
    </row>
    <row r="48" spans="1:19" ht="15" x14ac:dyDescent="0.25">
      <c r="A48" s="38" t="s">
        <v>73</v>
      </c>
      <c r="B48" s="38"/>
      <c r="C48" s="22"/>
      <c r="D48" s="103"/>
      <c r="E48" s="113"/>
      <c r="F48" s="126"/>
      <c r="G48" s="139"/>
      <c r="H48" s="126"/>
      <c r="I48" s="126"/>
      <c r="J48" s="126"/>
      <c r="K48" s="126"/>
      <c r="L48" s="126"/>
      <c r="M48" s="126"/>
      <c r="N48" s="125"/>
      <c r="Q48" s="52"/>
      <c r="R48" s="52"/>
      <c r="S48" s="52"/>
    </row>
    <row r="49" spans="1:19" ht="15" x14ac:dyDescent="0.25">
      <c r="A49" s="38" t="s">
        <v>78</v>
      </c>
      <c r="B49" s="38"/>
      <c r="C49" s="22"/>
      <c r="D49" s="103"/>
      <c r="E49" s="113"/>
      <c r="F49" s="126"/>
      <c r="G49" s="139"/>
      <c r="H49" s="126"/>
      <c r="I49" s="126"/>
      <c r="J49" s="126"/>
      <c r="K49" s="126"/>
      <c r="L49" s="126"/>
      <c r="M49" s="126"/>
      <c r="N49" s="125"/>
    </row>
    <row r="50" spans="1:19" ht="15.75" thickBot="1" x14ac:dyDescent="0.3">
      <c r="A50" s="38" t="s">
        <v>227</v>
      </c>
      <c r="B50" s="38"/>
      <c r="C50" s="22"/>
      <c r="D50" s="103"/>
      <c r="E50" s="113"/>
      <c r="F50" s="126"/>
      <c r="G50" s="139"/>
      <c r="H50" s="126">
        <f>24998</f>
        <v>24998</v>
      </c>
      <c r="I50" s="126"/>
      <c r="J50" s="126">
        <f>20000</f>
        <v>20000</v>
      </c>
      <c r="K50" s="126"/>
      <c r="L50" s="126"/>
      <c r="M50" s="126"/>
      <c r="N50" s="125"/>
      <c r="P50" s="1" t="s">
        <v>55</v>
      </c>
    </row>
    <row r="51" spans="1:19" ht="15" x14ac:dyDescent="0.25">
      <c r="A51" s="38" t="s">
        <v>92</v>
      </c>
      <c r="B51" s="38">
        <v>31000</v>
      </c>
      <c r="C51" s="22"/>
      <c r="D51" s="103"/>
      <c r="E51" s="113"/>
      <c r="F51" s="126"/>
      <c r="G51" s="139"/>
      <c r="H51" s="126">
        <f>17289+14711</f>
        <v>32000</v>
      </c>
      <c r="I51" s="126"/>
      <c r="J51" s="126"/>
      <c r="K51" s="126"/>
      <c r="L51" s="126"/>
      <c r="M51" s="126"/>
      <c r="N51" s="125"/>
      <c r="P51" s="34"/>
      <c r="Q51" s="24" t="s">
        <v>47</v>
      </c>
      <c r="R51" s="24" t="s">
        <v>98</v>
      </c>
      <c r="S51" s="25" t="s">
        <v>52</v>
      </c>
    </row>
    <row r="52" spans="1:19" ht="15" x14ac:dyDescent="0.25">
      <c r="A52" s="38" t="s">
        <v>16</v>
      </c>
      <c r="B52" s="38"/>
      <c r="C52" s="22"/>
      <c r="D52" s="103"/>
      <c r="E52" s="113"/>
      <c r="F52" s="126"/>
      <c r="G52" s="139">
        <f>30+225+33</f>
        <v>288</v>
      </c>
      <c r="H52" s="126"/>
      <c r="I52" s="126"/>
      <c r="J52" s="126"/>
      <c r="K52" s="126"/>
      <c r="L52" s="126"/>
      <c r="M52" s="126"/>
      <c r="N52" s="125"/>
      <c r="P52" s="40" t="s">
        <v>56</v>
      </c>
      <c r="Q52" s="96">
        <v>1400000</v>
      </c>
      <c r="R52" s="96">
        <v>1600000</v>
      </c>
      <c r="S52" s="96">
        <v>1800000</v>
      </c>
    </row>
    <row r="53" spans="1:19" ht="15" x14ac:dyDescent="0.25">
      <c r="A53" s="39" t="s">
        <v>62</v>
      </c>
      <c r="B53" s="39">
        <f>SUM(B9:B51)</f>
        <v>1731243</v>
      </c>
      <c r="C53" s="101">
        <f>SUM(C9:C35)</f>
        <v>1395153</v>
      </c>
      <c r="D53" s="105">
        <f t="shared" ref="D53:I53" si="0">SUM(D9:D52)</f>
        <v>901227</v>
      </c>
      <c r="E53" s="112">
        <f t="shared" si="0"/>
        <v>536014</v>
      </c>
      <c r="F53" s="127">
        <f t="shared" si="0"/>
        <v>456646</v>
      </c>
      <c r="G53" s="140">
        <f t="shared" si="0"/>
        <v>525079</v>
      </c>
      <c r="H53" s="127">
        <f t="shared" si="0"/>
        <v>769973</v>
      </c>
      <c r="I53" s="127">
        <f t="shared" si="0"/>
        <v>468657</v>
      </c>
      <c r="J53" s="126">
        <f>SUM(J9:J52)</f>
        <v>1018191</v>
      </c>
      <c r="K53" s="126">
        <f>SUM(K9:K52)</f>
        <v>1117073</v>
      </c>
      <c r="L53" s="126">
        <f>SUM(L9:L52)</f>
        <v>724598</v>
      </c>
      <c r="M53" s="126">
        <f>SUM(M9:M52)</f>
        <v>1490776</v>
      </c>
      <c r="N53" s="176">
        <f>SUM(N9:N52)</f>
        <v>1249746</v>
      </c>
      <c r="O53" s="191">
        <f>'Weekliks-Weekly'!M60</f>
        <v>1249.7459999999999</v>
      </c>
      <c r="P53" s="59" t="s">
        <v>128</v>
      </c>
      <c r="Q53" s="22">
        <f>H95</f>
        <v>1476701</v>
      </c>
      <c r="R53" s="22">
        <f>H95</f>
        <v>1476701</v>
      </c>
      <c r="S53" s="35">
        <f>F95</f>
        <v>210799</v>
      </c>
    </row>
    <row r="54" spans="1:19" ht="15" x14ac:dyDescent="0.25">
      <c r="E54" s="106"/>
      <c r="H54" s="100"/>
      <c r="K54" s="166"/>
      <c r="L54" s="166"/>
      <c r="O54" s="21"/>
      <c r="P54" s="29" t="s">
        <v>49</v>
      </c>
      <c r="Q54" s="22">
        <f>Q52-Q53</f>
        <v>-76701</v>
      </c>
      <c r="R54" s="22">
        <f>R52-R53</f>
        <v>123299</v>
      </c>
      <c r="S54" s="35">
        <f>S52-S53</f>
        <v>1589201</v>
      </c>
    </row>
    <row r="55" spans="1:19" ht="15" x14ac:dyDescent="0.25">
      <c r="A55" s="1" t="s">
        <v>6</v>
      </c>
      <c r="B55" s="1"/>
      <c r="C55" s="1"/>
      <c r="D55" s="1"/>
      <c r="H55" s="67"/>
      <c r="K55" s="166"/>
      <c r="L55" s="166" t="s">
        <v>2</v>
      </c>
      <c r="M55" s="177" t="s">
        <v>2</v>
      </c>
      <c r="N55" s="1" t="s">
        <v>244</v>
      </c>
      <c r="P55" s="29" t="s">
        <v>50</v>
      </c>
      <c r="Q55" s="22">
        <f>$Q$35</f>
        <v>9</v>
      </c>
      <c r="R55" s="22">
        <f>$Q$35</f>
        <v>9</v>
      </c>
      <c r="S55" s="35">
        <f>$Q$35</f>
        <v>9</v>
      </c>
    </row>
    <row r="56" spans="1:19" ht="13.5" thickBot="1" x14ac:dyDescent="0.25">
      <c r="B56" s="87" t="s">
        <v>104</v>
      </c>
      <c r="C56" s="87" t="s">
        <v>105</v>
      </c>
      <c r="D56" s="160" t="s">
        <v>108</v>
      </c>
      <c r="E56" s="159" t="s">
        <v>112</v>
      </c>
      <c r="F56" s="159" t="s">
        <v>111</v>
      </c>
      <c r="G56" s="159" t="s">
        <v>126</v>
      </c>
      <c r="H56" s="161" t="s">
        <v>223</v>
      </c>
      <c r="I56" s="159" t="s">
        <v>230</v>
      </c>
      <c r="J56" s="159" t="s">
        <v>240</v>
      </c>
      <c r="K56" s="159" t="s">
        <v>240</v>
      </c>
      <c r="L56" s="159" t="s">
        <v>246</v>
      </c>
      <c r="M56" s="159" t="s">
        <v>260</v>
      </c>
      <c r="N56" s="159" t="s">
        <v>268</v>
      </c>
      <c r="P56" s="36" t="s">
        <v>51</v>
      </c>
      <c r="Q56" s="26">
        <f>Q54/Q55</f>
        <v>-8522.3333333333339</v>
      </c>
      <c r="R56" s="26">
        <f>R54/R55</f>
        <v>13699.888888888889</v>
      </c>
      <c r="S56" s="27">
        <f>S54/S55</f>
        <v>176577.88888888888</v>
      </c>
    </row>
    <row r="57" spans="1:19" ht="15" x14ac:dyDescent="0.25">
      <c r="A57" s="38" t="s">
        <v>15</v>
      </c>
      <c r="B57" s="38">
        <v>6587</v>
      </c>
      <c r="C57" s="66">
        <f>15+593+506+514+2+172+104+492+454+220+228+781+182+405+743+1096+189+228+819+50+301+274+56+3+160+223+56+36+279+5</f>
        <v>9186</v>
      </c>
      <c r="D57" s="103">
        <f>432+66+344+134+148+212+250+640+33+32+35+159+679+19+135+2137+176+137+560+726+209+15+36+248+166+439+324+121+34+168</f>
        <v>8814</v>
      </c>
      <c r="E57" s="103">
        <v>7506</v>
      </c>
      <c r="F57" s="126">
        <f>748+34+694+396+440+317+704+484+440+968+484+484+484+484+484+968+660+880+616+484+484</f>
        <v>11737</v>
      </c>
      <c r="G57" s="139">
        <f>45+34+42+34+6+34+61+20+1012+979+1470+49+58+527+484+774+572+1188+851+660+949+440+799+771+357+469</f>
        <v>12685</v>
      </c>
      <c r="H57" s="126">
        <f>10+176+18+440+6+440+487+3</f>
        <v>1580</v>
      </c>
      <c r="I57" s="126">
        <f>5+395+12+533+15+466+96+234+480+904+166+509+419+34+204+137+647+240+240+1092+337+131</f>
        <v>7296</v>
      </c>
      <c r="J57" s="126">
        <f>556+924+616+414+159+37+484+320+949+20+489+264+977+826+412+536+275+2167+521+7+26+792+14+704+12+20+21+18+36+23+19+26</f>
        <v>12664</v>
      </c>
      <c r="K57" s="126">
        <f>57+12+1311+440+6+111+150+224+288+1421+347+172+633+428+793+339+418+138+140+209+105+23+572+482+30+11+12+520+60</f>
        <v>9452</v>
      </c>
      <c r="L57" s="126">
        <f>8+20+5+12+15+17+9+12+55+50+55+67</f>
        <v>325</v>
      </c>
      <c r="M57" s="126">
        <f>5+38+6+6+11+7+11+11+5+3+69+96+201+136+3+132+880+814+432+271+265+144+103+409+287+240+271+268+636+268+815+136+135+34+174+212+276+201+201+242+44+32+113+237+3</f>
        <v>8883</v>
      </c>
      <c r="N57" s="125">
        <f>9+11+2+17+14+6+3+6+3+3+36+654+5+307+8+12+3+3+4+23+33</f>
        <v>1162</v>
      </c>
      <c r="Q57" s="52"/>
      <c r="R57" s="37"/>
      <c r="S57" s="52"/>
    </row>
    <row r="58" spans="1:19" ht="15" x14ac:dyDescent="0.25">
      <c r="A58" s="38" t="s">
        <v>18</v>
      </c>
      <c r="B58" s="38">
        <v>14833</v>
      </c>
      <c r="C58" s="66">
        <f>442+352+471+159+522+155+97+223+98+1208+427+220+251+320+451+535+294+1020+1115+271+326+258+513+168+181+35+47+255+1680+791+1175+749+394+958+83+84+82+27+511+427+400</f>
        <v>17775</v>
      </c>
      <c r="D58" s="103">
        <f>104+81+631+231+213+199+138+220+979+131+507+487+461+1509+410+771+288+1886+496+624+850+1081+544+865+409+194+124+205+197+169+639+362+433+364+735+911+168+570+1013+550+381+793+183+164+67+110+95</f>
        <v>22542</v>
      </c>
      <c r="E58" s="103">
        <v>24483</v>
      </c>
      <c r="F58" s="126">
        <f>441+775+462+320+193+459+301+725+1922+1529+1025+716+389+334+262+435+139+1278+365+1059+224+1850+216+1285+644+1175+1315+886+1107+303+1360+965+1054+444+1139+957+686+1618+948+391+495+325+945+1182+1063+743+616+548+719</f>
        <v>38332</v>
      </c>
      <c r="G58" s="139">
        <f>235+241+1120+329+492+842+101+227+554+859+468+273+143+203+367+132+1909+956+675+348+508+588+570+536+498+295+1238+102+477+175+348+170+267+207+800+931+539+744+203+206+1185+1131+885+296+730+1078+803+811</f>
        <v>26795</v>
      </c>
      <c r="H58" s="126">
        <f>499+589+492+655+625+570+159+760+991+445+237+467+535+510+269+501+102+914+134+247+237+512+770+1239+539+235+540+131+32+394+1070+473+344+542+163+70+318+434+1307+1308+301+9+134+204+160+62+374+215+98</f>
        <v>21916</v>
      </c>
      <c r="I58" s="126">
        <f>378+431+1056+1195+1017+926+519+880+371+1897+582+492+590+588+472+643+854+1280+951+537+896+379+408+1030+913+1079+920+271+374+306+261+1080+274+373+714+339+356+697+764+395+382+432+1125+441</f>
        <v>29868</v>
      </c>
      <c r="J58" s="126">
        <f>1503+748+868+650+1062+870+539+736+748+853+539+1342+546+1859+1765+1741+539+604+1188+1469+993+1549+1627+917+1332+1337+1619+689+576+952+950+1133+515+940+844+812+855+66+477+549+1612+242+402+1880+653+938+100+1053+1600+1120+782+479</f>
        <v>49762</v>
      </c>
      <c r="K58" s="126">
        <f>563+894+515+274+422+690+463+688+765+1456+911+924+1152+1201+1536+680+346+374+872+541+1369+1242+2533+955+1011+780+1348+1429+1629+1422+917+511+884+1764+1469+1080+1091+1362+1493+1486+1280+880+313+166+834+508+573+376+339+1002+1350+1318+293</f>
        <v>50274</v>
      </c>
      <c r="L58" s="126">
        <f>455+383+382+978+627+736+425+765+940+1062+1337+504+1862+38+517+666+232+718+803+1005+713+1328+1180+1367+1214+792+754+1654+1055+604+1457+1722+1350+620+279+637+409+315+1010+760+1253+1259+523+696+708+277+833+795+1076+1170+712</f>
        <v>42957</v>
      </c>
      <c r="M58" s="126">
        <f>1214+1507+1736+835+1229+540+1262+959+621+1343+1483+1497+1527+1374+1660+1699+382+698+620+803+1529+1860+2055+1106+1473+901+635+683+829+592+529+461+494+631+287+271+1401+1542+784+722+488+782+440+1147+733+1071+1372+1185+658+381+266+230</f>
        <v>50527</v>
      </c>
      <c r="N58" s="125">
        <f>2109+814+555+453+207+654+1295+2433+618+1566+1600+987+666+599+1620+1123+1010+545+1852+1013+2755+1939+2868+1297+1441+1295+1027+977+1107+1542+2427+2331+1290+1562+1183+1793+1088+802+803+1638+996+908+976+420+240+699+762+1170+1568+1869+935+559</f>
        <v>63986</v>
      </c>
      <c r="P58" s="80" t="s">
        <v>96</v>
      </c>
      <c r="Q58" s="52"/>
      <c r="R58" s="37"/>
      <c r="S58" s="52"/>
    </row>
    <row r="59" spans="1:19" ht="15" x14ac:dyDescent="0.25">
      <c r="A59" s="38" t="s">
        <v>241</v>
      </c>
      <c r="B59" s="38">
        <v>55618</v>
      </c>
      <c r="C59" s="66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9" s="103">
        <f>230+477+569+880+750+1120+874+1288+548+465+647+1364+1253+698+956+1401+531+2481+798+1356+1534+715+917+565+1310+1024+1550+700+1370+293+896+557+729+974+825+733+651+200+118+444+614+700+1492+969+352+608+250+285+265+512</f>
        <v>40838</v>
      </c>
      <c r="E59" s="103">
        <v>45076</v>
      </c>
      <c r="F59" s="126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9" s="139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9" s="126">
        <f>1708+1438+1730+871+1658+1352+1831+1903+1815+1077+1739+1685+1589+1477+1419+1556+1893+5260+2054+1647+2332+1832+1603+2175+2039+1617+2004+2016+2286+1732+1682+910+1240+1388+1138+1631+1220+1321+1260+1315+1624+1649+1496+1868+1031+1118+1869+1582+1329+1138</f>
        <v>83147</v>
      </c>
      <c r="I59" s="126">
        <f>1994+1652+1373+1735+1673+1393+2405+2238+1143+1365+1263+2157+2139+2424+2293+2546+1720+1627+2426+2485+1686+1534+1922+1924+1820+1693+2085+1904+2002+1433+1918+2025+1581+2105+1889+2723+2779+1300+2365+1977+3080+1130+1807+770</f>
        <v>83503</v>
      </c>
      <c r="J59" s="126">
        <f>1771+1612+1914+1968+3055+2345+2198+1651+2876+1433+1641+1343+1832+2053+1507+2305+1198+1443+1942+3418+2428+2815+2525+2054+2291+2187+2440+2333+2738+2767+1748+2532+1618+1212+2284+2999+2086+1936+2686+1807+2033+1810+2423+1679+1403+1897+1668+2329+1267+1787+2229+1162</f>
        <v>106678</v>
      </c>
      <c r="K59" s="126">
        <f>1451+2728+1376+1202+1882+2224+1804+2234+2332+2138+1794+1300+2099+1998+2578+2555+2557+1943+2211+2171+2227+2350+2140+2494+2420+2556+2834+2822+2913+1676+1304+3656+2228+2746+2771+1725+1142+2186+1990+2643+1829+1688+2025+1669+1633+1862+2907+757+5341+1399+1479+1357+188</f>
        <v>111534</v>
      </c>
      <c r="L59" s="126">
        <f>1686+1861+2229+1826+1973+1909+2424+1428+1796+1896+1578+1546+2222+2596+2430+1944+1798+1773+1953+2577+1998+2473+2560+2049+1577+2843+2462+2600+2336+1868+1316+1828+1361+1576+1957+1193+1646+1998+2273+2382+1839+2034+716+1770+1832+1203+1297+1442+1696+3525+1975</f>
        <v>99070</v>
      </c>
      <c r="M59" s="126">
        <f>1892+1789+1928+1400+2205+1014+1311+978+1786+1481+1637+1834+957+1248+2425+2795+2575+1041+2509+2095+2464+2455+3011+1794+2267+1894+2350+1814+2896+1972+1799+2300+2618+1448+1307+3419+1392+131+693+957+1253+725+704+982+969+1244+1233+1405+1663+1635+1607</f>
        <v>87301</v>
      </c>
      <c r="N59" s="125">
        <f>1897+1381+2001+1374+1421+1933+1551+1497+2347+1738+1846+1389+1430+1362+1621+2306+1692+1311+1706+1974+2363+1895+2272+2100+2126+2091+1755+1717+2177+2114+2236+1797+2402+2086+1473+1704+1868+1039+1371+1617+1242+727+1126+1393+367+311+1196+900+1234+632+1544+973</f>
        <v>83625</v>
      </c>
      <c r="P59" s="80" t="s">
        <v>99</v>
      </c>
    </row>
    <row r="60" spans="1:19" ht="15" x14ac:dyDescent="0.25">
      <c r="A60" s="38" t="s">
        <v>17</v>
      </c>
      <c r="B60" s="38">
        <v>15632</v>
      </c>
      <c r="C60" s="66">
        <f>351+605+233+305+817+415+277+384+367+848+1059+1094+689+993+572+818+73+1858+1438+1599+1054+1189+664+565+719+322+922+570+477+461+256+152+398+605+389+694+154+531+395+336+669+471+699+566+330+125+873+139+136+279</f>
        <v>29935</v>
      </c>
      <c r="D60" s="103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60" s="103">
        <v>37518</v>
      </c>
      <c r="F60" s="126">
        <f>244+348+282+272+918+164+212+840+739+1013+1522+826+1046+557+475+367+444+3201+936+1332+929+908+1214+920+819+1197+1065+1293+718+917+794+971+623+1064+720+899+1345+590+719+1162+771+760+743+861+1400+1144+832+537+470+88</f>
        <v>42211</v>
      </c>
      <c r="G60" s="139">
        <f>215+224+301+248+200+130+165+66+144+441+463+294+291+1198+277+143+1423+231+312+227+343+594+946+682+29+138+66+25+162+589+419+297+387+457+1+35+35+36+116+183+255+290+481+502+501+133+296</f>
        <v>14991</v>
      </c>
      <c r="H60" s="126">
        <f>1519+1083+777+569+1485+627+231+766+1048+1100+1392+1298+1159+896+895+1122+3550+1042+1075+1193+1008+967+783+2675+45+131+234+782+998+842+1014+1021+1241+1430+1083+1151+1281+996+238+889+434+990+1162+811+717+283+179+140+170</f>
        <v>46522</v>
      </c>
      <c r="I60" s="126">
        <f>1373+1525+1030+1146+1014+1019+1011+1134+157+1248+1677+1556+1457+775+529+786+1611+1312+1047+488+392+280+374+295+380+482+464+1068+861+639+626+1190+557+468+1076+1110+1065+785+893+1510+331+143+307</f>
        <v>37191</v>
      </c>
      <c r="J60" s="126">
        <f>730+1410+1273+211+1355+1084+806+559+828+983+1031+1157+1216+575+806+2525+251+315+1437+1956+1563+2379+863+1151+1022+1352+3117+1610+1105+461+1898+1605+1628+1355+1659+1309+1326+1045+1074+2111+1696+1322+2009+1158+1344+579+1091+2535+1648+1129+413+530</f>
        <v>65595</v>
      </c>
      <c r="K60" s="126">
        <f>906+652+1353+1176+1204+1482+1000+671+1338+1345+817+1254+645+2027+788+1009+1045+183+1167+1327+1172+1344+1305+1209+1176+1339+1537+984+196+1071+1376+1197+1468+1216+707+1885+1257+1213+1120+4687+538+163+1043+1355+5563+932+380+249+1331+1397+1072+106+33</f>
        <v>63010</v>
      </c>
      <c r="L60" s="126">
        <f>504+455+393+507+450+68+469+106+1326+1044+958+574+2734+863+866+727+677+427+276+106+329+1564+960+815+736+926+402+490+764+1126+1280+393+709+849+1586+1055+779+1138+1197+796+1143+986+1138+1822+907+1055+672+1248+1373+1192+1137</f>
        <v>44097</v>
      </c>
      <c r="M60" s="126">
        <f>731+927+460+498+454+253+362+242+305+184+211+174+165+420+203+285+176+668+106+320+559+1117+1549+1096+984+1607+863+898+615+561+1949+962+590+1066+1292+1257+941+1172+837+1852+373+1291+765+725+736+345+201+335+1022+578+386+435</f>
        <v>36103</v>
      </c>
      <c r="N60" s="125">
        <f>1386+973+1538+1223+970+1572+1358+1330+1097+1888+1188+1248+873+1452+1251+1189+787+202+418+711+893+994+2067+839+1277+1246+1415+980+1237+1234+1863+1722+1454+1211+1386+1409+1666+1247+665+1025+879+1027+1118+1153+1314+655+580+1079+1763+994+1110+680</f>
        <v>60836</v>
      </c>
    </row>
    <row r="61" spans="1:19" ht="15" x14ac:dyDescent="0.25">
      <c r="A61" s="38" t="s">
        <v>12</v>
      </c>
      <c r="B61" s="38">
        <v>22153</v>
      </c>
      <c r="C61" s="66">
        <f>540+329+759+511+168+346+135+401+270+406+532+201+416+716+209+318+544+1004+287+269+934+901+534+878+844+1100+725+688+590+1335+1240+418+2824+1226+1603+825+1233+861+1339+1503+411+528+1620+679+635+491+636+930+322</f>
        <v>36214</v>
      </c>
      <c r="D61" s="103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61" s="103">
        <v>30126</v>
      </c>
      <c r="F61" s="126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61" s="139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61" s="126">
        <f>235+162+435+304+658+363+748+470+606+258+422+299+289+371+247+278+89+1091+339+242+292+208+210+540+395+132+36+169+180+11+158+179+83+204+71+134+27+57+34+592+141+34+224+168+1850+915+943+510+551+1039</f>
        <v>17993</v>
      </c>
      <c r="I61" s="126">
        <f>1445+2094+674+1059+1447+1725+1958+997+290+273+466+868+771+329+587+366+834+490+497+723+541+70+493+664+241+395+423+315+243+273+248+767+130+518+386+677+457+726+173+130+2076+524+537+135</f>
        <v>29035</v>
      </c>
      <c r="J61" s="126">
        <f>1607+1726+1662+1319+2905+2119+2706+1598+1856+481+627+512+1970+839+549+730+251+1747+599+726+425+1627+1601+1176+1297+1977+2444+1730+1386+1796+2585+1703+1626+1829+2558+1719+2004+1896+1214+3143+1386+1957+1173+1817+1397+1724+1965+1370+1715+1633+2547+859</f>
        <v>81808</v>
      </c>
      <c r="K61" s="126">
        <f>185+374+555+681+402+1251+506+1192+674+1418+838+674+1252+1260+757+588+605+170+974+799+811+603+1246+274+294+778+997+439+542+723+320+704+474+666+770+752+387+386+1224+2482+607+797+364+1237+1655+849+952+1118+3700+1732+1321+1625+102</f>
        <v>46086</v>
      </c>
      <c r="L61" s="126">
        <f>159+97+99+128+1164+64+35+115+935+30+69+92+1298+1+160+31+317+28+97+717+68+34+533+67+68+276+68+241+70+232+71+100+208+599+172+102+353+1135+472+483+480</f>
        <v>11468</v>
      </c>
      <c r="M61" s="126">
        <f>1406+1625+1053+713+654+810+1300+1110+1362+557+828+1586+1627+1384+1307+1554+1103+1085+1766+1503+460+32+100+32+35+34+45+35+35+6+90+316+35+107+341+33+34+125+101+68+121+33+32+33+369+321+63</f>
        <v>27369</v>
      </c>
      <c r="N61" s="125">
        <f>2464+2605+1506+1833+1387+2071+1617+1469+846+1438+528+2224+1551+2410+845+768+1226+599+2388+1841+2021+1646+1553+1343+1427+103+1107+209+165+129+101+100+102+402+223+168+165+368+173+201+204+440+141+231+110+162+141+66+205+645</f>
        <v>45667</v>
      </c>
    </row>
    <row r="62" spans="1:19" ht="15.75" thickBot="1" x14ac:dyDescent="0.3">
      <c r="A62" s="64" t="s">
        <v>224</v>
      </c>
      <c r="B62" s="38">
        <v>161550</v>
      </c>
      <c r="C62" s="66">
        <f>31849+21249+27982</f>
        <v>81080</v>
      </c>
      <c r="D62" s="103">
        <f>236+4206+2320+14699+21493+23043+26457+20376+54124+1726</f>
        <v>168680</v>
      </c>
      <c r="E62" s="103">
        <v>679185</v>
      </c>
      <c r="F62" s="126"/>
      <c r="G62" s="139"/>
      <c r="H62" s="126">
        <f>12779+27898+7311+53225+66100+40001+36317+18283</f>
        <v>261914</v>
      </c>
      <c r="I62" s="126">
        <f>54399+51999</f>
        <v>106398</v>
      </c>
      <c r="J62" s="126"/>
      <c r="K62" s="126">
        <f>8891+44641+56118+13109+41491+52489+22512+32088+21400+30450</f>
        <v>323189</v>
      </c>
      <c r="L62" s="126">
        <f>9205+10001+55000+53132+32042+44157+75547+13060+46758+17913+45262+54550+24060+30290+46821+3074+6056+52010+35106+18780+55000+54000+52700</f>
        <v>834524</v>
      </c>
      <c r="M62" s="126">
        <f>31992+100221+51648+51501+2477+31226+23531+47728+4785+55300+54230+32203+23669+10226+44224+32486+77964+23512+21087</f>
        <v>720010</v>
      </c>
      <c r="N62" s="125">
        <f>52478+20385+32083+7717+31863+23638+23651+25915+6225+13039+28442+54980+24500+47723+36877+33570</f>
        <v>463086</v>
      </c>
      <c r="P62" s="1" t="s">
        <v>57</v>
      </c>
    </row>
    <row r="63" spans="1:19" ht="15" x14ac:dyDescent="0.25">
      <c r="A63" s="43" t="s">
        <v>24</v>
      </c>
      <c r="B63" s="43">
        <v>48880</v>
      </c>
      <c r="C63" s="66">
        <f>25083+24806+39128+27873+22427</f>
        <v>139317</v>
      </c>
      <c r="D63" s="103">
        <f>18608+30231+50170+2930+92055+7681+84537+77568+54112+24125+34803+39324+29995+45209+4967</f>
        <v>596315</v>
      </c>
      <c r="E63" s="103">
        <v>198197</v>
      </c>
      <c r="F63" s="126"/>
      <c r="G63" s="139"/>
      <c r="H63" s="127">
        <f>10250+40114+36227+39306+55248+22494+47041+5682+1846+51254+34370+11130+52611+22466+57016+99855+53806+74644+28124+2398+19786</f>
        <v>765668</v>
      </c>
      <c r="I63" s="127">
        <f>51000+26957+23135+50425</f>
        <v>151517</v>
      </c>
      <c r="J63" s="126"/>
      <c r="K63" s="126">
        <f>30685+21955+34334+15776+39311+10719+7695+44775</f>
        <v>205250</v>
      </c>
      <c r="L63" s="126">
        <f>32459+18294+27805+22845+28298+53428+23937+52460+52155+19755+82796+6370+101747+85190+61911+52133+55000+48240</f>
        <v>824823</v>
      </c>
      <c r="M63" s="126">
        <f>50146+24477+28273+34402+15013+14317+33995+9192+68604+51520+54262+53047+59513+32722+30962+44701</f>
        <v>605146</v>
      </c>
      <c r="N63" s="176">
        <f>30131+23009+6802+24368+20000+113666+84008+12419+61515+19250+20001+22580+30554</f>
        <v>468303</v>
      </c>
      <c r="P63" s="34"/>
      <c r="Q63" s="24" t="s">
        <v>47</v>
      </c>
      <c r="R63" s="24" t="s">
        <v>53</v>
      </c>
      <c r="S63" s="25" t="s">
        <v>52</v>
      </c>
    </row>
    <row r="64" spans="1:19" ht="15" x14ac:dyDescent="0.25">
      <c r="A64" s="178" t="s">
        <v>264</v>
      </c>
      <c r="B64" s="43"/>
      <c r="C64" s="66"/>
      <c r="D64" s="103"/>
      <c r="E64" s="103"/>
      <c r="F64" s="126"/>
      <c r="G64" s="139"/>
      <c r="H64" s="127"/>
      <c r="I64" s="127"/>
      <c r="J64" s="126"/>
      <c r="K64" s="126"/>
      <c r="L64" s="126"/>
      <c r="M64" s="126">
        <f>26652+81452</f>
        <v>108104</v>
      </c>
      <c r="N64" s="176">
        <f>26953+16628+11972+55960</f>
        <v>111513</v>
      </c>
      <c r="P64" s="40" t="s">
        <v>58</v>
      </c>
      <c r="Q64" s="41">
        <f>Q52+Q32</f>
        <v>3400000</v>
      </c>
      <c r="R64" s="41">
        <f>R52+R32</f>
        <v>4250000</v>
      </c>
      <c r="S64" s="42">
        <f>S52+S32</f>
        <v>4500000</v>
      </c>
    </row>
    <row r="65" spans="1:21" ht="15" x14ac:dyDescent="0.25">
      <c r="A65" s="43" t="s">
        <v>21</v>
      </c>
      <c r="B65" s="43"/>
      <c r="C65" s="107"/>
      <c r="D65" s="104">
        <v>1009</v>
      </c>
      <c r="E65" s="104">
        <v>1011</v>
      </c>
      <c r="F65" s="127"/>
      <c r="G65" s="140"/>
      <c r="H65" s="127">
        <f>102+345+172+782+782+299</f>
        <v>2482</v>
      </c>
      <c r="I65" s="127"/>
      <c r="J65" s="126">
        <f>481</f>
        <v>481</v>
      </c>
      <c r="K65" s="126"/>
      <c r="L65" s="126">
        <f>35+35+35+3013+643+1416+2079+35+35+1176+238+68+1013+125+992+34+34+102+34+1013+68+102+34+1000+991+993+1105</f>
        <v>16448</v>
      </c>
      <c r="M65" s="126">
        <f>1983+1978+1488+499+35</f>
        <v>5983</v>
      </c>
      <c r="N65" s="176"/>
      <c r="P65" s="59" t="s">
        <v>131</v>
      </c>
      <c r="Q65" s="22">
        <f>H95+H53</f>
        <v>2246674</v>
      </c>
      <c r="R65" s="22">
        <f>Q65</f>
        <v>2246674</v>
      </c>
      <c r="S65" s="35">
        <f>R65</f>
        <v>2246674</v>
      </c>
    </row>
    <row r="66" spans="1:21" ht="15" x14ac:dyDescent="0.25">
      <c r="A66" s="38" t="s">
        <v>103</v>
      </c>
      <c r="B66" s="38">
        <v>229</v>
      </c>
      <c r="C66" s="66"/>
      <c r="D66" s="103"/>
      <c r="E66" s="103"/>
      <c r="F66" s="126"/>
      <c r="G66" s="139"/>
      <c r="H66" s="126"/>
      <c r="I66" s="126"/>
      <c r="J66" s="126"/>
      <c r="K66" s="126"/>
      <c r="L66" s="126"/>
      <c r="M66" s="126"/>
      <c r="N66" s="125"/>
      <c r="P66" s="29" t="s">
        <v>49</v>
      </c>
      <c r="Q66" s="22">
        <f>Q64-Q65</f>
        <v>1153326</v>
      </c>
      <c r="R66" s="22">
        <f>R64-R65</f>
        <v>2003326</v>
      </c>
      <c r="S66" s="35">
        <f>S64-S65</f>
        <v>2253326</v>
      </c>
    </row>
    <row r="67" spans="1:21" ht="15" x14ac:dyDescent="0.25">
      <c r="A67" s="64" t="s">
        <v>81</v>
      </c>
      <c r="B67" s="64">
        <v>28100</v>
      </c>
      <c r="C67" s="66"/>
      <c r="D67" s="103"/>
      <c r="E67" s="103"/>
      <c r="F67" s="126"/>
      <c r="G67" s="139"/>
      <c r="H67" s="126"/>
      <c r="I67" s="126"/>
      <c r="J67" s="126"/>
      <c r="K67" s="126"/>
      <c r="L67" s="126"/>
      <c r="M67" s="126"/>
      <c r="N67" s="125"/>
      <c r="P67" s="29" t="s">
        <v>50</v>
      </c>
      <c r="Q67" s="22">
        <f>$Q$35</f>
        <v>9</v>
      </c>
      <c r="R67" s="22">
        <f>$Q$35</f>
        <v>9</v>
      </c>
      <c r="S67" s="35">
        <f>$Q$35</f>
        <v>9</v>
      </c>
    </row>
    <row r="68" spans="1:21" ht="15.75" thickBot="1" x14ac:dyDescent="0.3">
      <c r="A68" s="64" t="s">
        <v>42</v>
      </c>
      <c r="B68" s="64"/>
      <c r="C68" s="66"/>
      <c r="D68" s="103">
        <f>382+452+516</f>
        <v>1350</v>
      </c>
      <c r="E68" s="103">
        <v>3540</v>
      </c>
      <c r="F68" s="126"/>
      <c r="G68" s="139"/>
      <c r="H68" s="126"/>
      <c r="I68" s="126"/>
      <c r="J68" s="126"/>
      <c r="K68" s="126"/>
      <c r="L68" s="126"/>
      <c r="M68" s="126"/>
      <c r="N68" s="125"/>
      <c r="P68" s="36" t="s">
        <v>51</v>
      </c>
      <c r="Q68" s="26">
        <f>Q66/Q67</f>
        <v>128147.33333333333</v>
      </c>
      <c r="R68" s="26">
        <f>R66/R67</f>
        <v>222591.77777777778</v>
      </c>
      <c r="S68" s="27">
        <f>S66/S67</f>
        <v>250369.55555555556</v>
      </c>
    </row>
    <row r="69" spans="1:21" ht="15" x14ac:dyDescent="0.25">
      <c r="A69" s="43" t="s">
        <v>75</v>
      </c>
      <c r="B69" s="43"/>
      <c r="C69" s="66"/>
      <c r="D69" s="103"/>
      <c r="E69" s="103"/>
      <c r="F69" s="126"/>
      <c r="G69" s="139"/>
      <c r="H69" s="126"/>
      <c r="I69" s="126"/>
      <c r="J69" s="126"/>
      <c r="K69" s="126"/>
      <c r="L69" s="126"/>
      <c r="M69" s="126"/>
      <c r="N69" s="125"/>
    </row>
    <row r="70" spans="1:21" ht="15" x14ac:dyDescent="0.25">
      <c r="A70" s="64" t="s">
        <v>38</v>
      </c>
      <c r="B70" s="64">
        <v>7700</v>
      </c>
      <c r="C70" s="66"/>
      <c r="D70" s="103"/>
      <c r="E70" s="103"/>
      <c r="F70" s="126"/>
      <c r="G70" s="139"/>
      <c r="H70" s="126">
        <f>301</f>
        <v>301</v>
      </c>
      <c r="I70" s="126">
        <f>20000</f>
        <v>20000</v>
      </c>
      <c r="J70" s="126"/>
      <c r="K70" s="126"/>
      <c r="L70" s="126">
        <f>9505</f>
        <v>9505</v>
      </c>
      <c r="M70" s="126">
        <v>0</v>
      </c>
      <c r="N70" s="125">
        <f>654+1315</f>
        <v>1969</v>
      </c>
      <c r="O70" s="2"/>
      <c r="Q70" s="52"/>
      <c r="R70" s="58"/>
      <c r="S70" s="52"/>
    </row>
    <row r="71" spans="1:21" ht="15" x14ac:dyDescent="0.25">
      <c r="A71" s="64" t="s">
        <v>106</v>
      </c>
      <c r="B71" s="64"/>
      <c r="C71" s="66"/>
      <c r="D71" s="103"/>
      <c r="E71" s="103"/>
      <c r="F71" s="126">
        <f>1104+543+810+36+788</f>
        <v>3281</v>
      </c>
      <c r="G71" s="139"/>
      <c r="H71" s="126"/>
      <c r="I71" s="126"/>
      <c r="J71" s="126"/>
      <c r="K71" s="126"/>
      <c r="L71" s="126"/>
      <c r="M71" s="126"/>
      <c r="N71" s="125"/>
      <c r="O71" s="2"/>
      <c r="Q71" s="52"/>
      <c r="R71" s="58"/>
      <c r="S71" s="52"/>
    </row>
    <row r="72" spans="1:21" ht="15" x14ac:dyDescent="0.25">
      <c r="A72" s="64" t="s">
        <v>107</v>
      </c>
      <c r="B72" s="64">
        <v>302259</v>
      </c>
      <c r="C72" s="66">
        <f>594+1100+5818+12152</f>
        <v>19664</v>
      </c>
      <c r="D72" s="103">
        <f>2544+29810+36024+30166+49500</f>
        <v>148044</v>
      </c>
      <c r="E72" s="103">
        <v>214474</v>
      </c>
      <c r="F72" s="126">
        <f>2277</f>
        <v>2277</v>
      </c>
      <c r="G72" s="139">
        <f>506+828+483+1932+691+510+530+483</f>
        <v>5963</v>
      </c>
      <c r="H72" s="126">
        <f>644+828+828</f>
        <v>2300</v>
      </c>
      <c r="I72" s="126"/>
      <c r="J72" s="126"/>
      <c r="K72" s="126"/>
      <c r="L72" s="126"/>
      <c r="M72" s="126"/>
      <c r="N72" s="125"/>
      <c r="U72" s="1"/>
    </row>
    <row r="73" spans="1:21" ht="15" x14ac:dyDescent="0.25">
      <c r="A73" s="64" t="s">
        <v>225</v>
      </c>
      <c r="B73" s="64"/>
      <c r="C73" s="66"/>
      <c r="D73" s="103"/>
      <c r="E73" s="103"/>
      <c r="F73" s="126"/>
      <c r="G73" s="139"/>
      <c r="H73" s="126">
        <f>11313+40938+53280+39974+13319+25257+27863</f>
        <v>211944</v>
      </c>
      <c r="I73" s="126">
        <f>2106+590+391+576+307+399+195+200+399+8210+39332+53700+36010+17490+54800</f>
        <v>214705</v>
      </c>
      <c r="J73" s="126">
        <f>513+483+989+84+322+1465+483+490+532+492+496</f>
        <v>6349</v>
      </c>
      <c r="K73" s="126">
        <f>12751+88323+4701+54094+31686+38182+22125+16475+12942+40501+41337+508</f>
        <v>363625</v>
      </c>
      <c r="L73" s="126">
        <f>15250+30536+9788+495+248+275+54130+248+371+124+36118+17023+9923+46821+249+55346+15950+40075+50925+500+500+34857+10643</f>
        <v>430395</v>
      </c>
      <c r="M73" s="126">
        <f>25006+21556+31166+52075</f>
        <v>129803</v>
      </c>
      <c r="N73" s="125">
        <f>56211+32529+52830+53033+65447+4532+78700+51399+24015+29648+13914+29994</f>
        <v>492252</v>
      </c>
      <c r="U73" s="1"/>
    </row>
    <row r="74" spans="1:21" ht="15" x14ac:dyDescent="0.25">
      <c r="A74" s="64" t="s">
        <v>239</v>
      </c>
      <c r="B74" s="64"/>
      <c r="C74" s="66"/>
      <c r="D74" s="103"/>
      <c r="E74" s="103"/>
      <c r="F74" s="126"/>
      <c r="G74" s="139"/>
      <c r="H74" s="126"/>
      <c r="I74" s="126">
        <f>304+506+552+943+23+207+506+483+598</f>
        <v>4122</v>
      </c>
      <c r="J74" s="126">
        <f>968+483+463+969+462+833+629+506+484+2231+276</f>
        <v>8304</v>
      </c>
      <c r="K74" s="126"/>
      <c r="L74" s="126"/>
      <c r="M74" s="126"/>
      <c r="N74" s="125"/>
      <c r="U74" s="1"/>
    </row>
    <row r="75" spans="1:21" ht="15" x14ac:dyDescent="0.25">
      <c r="A75" s="64" t="s">
        <v>73</v>
      </c>
      <c r="B75" s="38"/>
      <c r="C75" s="66"/>
      <c r="D75" s="103"/>
      <c r="E75" s="103"/>
      <c r="F75" s="126"/>
      <c r="G75" s="139"/>
      <c r="H75" s="126"/>
      <c r="I75" s="126"/>
      <c r="J75" s="126"/>
      <c r="K75" s="126"/>
      <c r="L75" s="126"/>
      <c r="M75" s="126"/>
      <c r="N75" s="125"/>
      <c r="U75" s="53"/>
    </row>
    <row r="76" spans="1:21" ht="15" x14ac:dyDescent="0.25">
      <c r="A76" s="38" t="s">
        <v>74</v>
      </c>
      <c r="B76" s="38"/>
      <c r="C76" s="66"/>
      <c r="D76" s="103"/>
      <c r="E76" s="103"/>
      <c r="F76" s="126"/>
      <c r="G76" s="139"/>
      <c r="H76" s="126"/>
      <c r="I76" s="126"/>
      <c r="J76" s="126"/>
      <c r="K76" s="126"/>
      <c r="L76" s="126"/>
      <c r="M76" s="126"/>
      <c r="N76" s="125"/>
      <c r="U76" s="53"/>
    </row>
    <row r="77" spans="1:21" ht="15" x14ac:dyDescent="0.25">
      <c r="A77" s="38" t="s">
        <v>20</v>
      </c>
      <c r="B77" s="38">
        <v>4109</v>
      </c>
      <c r="C77" s="66">
        <f>352+2002</f>
        <v>2354</v>
      </c>
      <c r="D77" s="103">
        <f>1757+280+280+473+2151</f>
        <v>4941</v>
      </c>
      <c r="E77" s="103"/>
      <c r="F77" s="126"/>
      <c r="G77" s="139"/>
      <c r="H77" s="126"/>
      <c r="I77" s="126"/>
      <c r="J77" s="126"/>
      <c r="K77" s="126"/>
      <c r="L77" s="126"/>
      <c r="M77" s="126"/>
      <c r="N77" s="125"/>
      <c r="P77" s="21"/>
      <c r="U77" s="21"/>
    </row>
    <row r="78" spans="1:21" ht="15" x14ac:dyDescent="0.25">
      <c r="A78" s="38" t="s">
        <v>88</v>
      </c>
      <c r="B78" s="38"/>
      <c r="C78" s="66"/>
      <c r="D78" s="103">
        <f>5812+7883</f>
        <v>13695</v>
      </c>
      <c r="E78" s="103"/>
      <c r="F78" s="126"/>
      <c r="G78" s="139"/>
      <c r="H78" s="126"/>
      <c r="I78" s="126"/>
      <c r="J78" s="126"/>
      <c r="K78" s="126"/>
      <c r="L78" s="126"/>
      <c r="M78" s="126"/>
      <c r="N78" s="125"/>
      <c r="P78" s="21"/>
      <c r="U78" s="21"/>
    </row>
    <row r="79" spans="1:21" ht="15" x14ac:dyDescent="0.25">
      <c r="A79" s="178" t="s">
        <v>269</v>
      </c>
      <c r="B79" s="38"/>
      <c r="C79" s="66"/>
      <c r="D79" s="103"/>
      <c r="E79" s="103"/>
      <c r="F79" s="126"/>
      <c r="G79" s="139"/>
      <c r="H79" s="126"/>
      <c r="I79" s="126"/>
      <c r="J79" s="126"/>
      <c r="K79" s="126"/>
      <c r="L79" s="126"/>
      <c r="M79" s="126"/>
      <c r="N79" s="125">
        <f>136+91+300+379+239</f>
        <v>1145</v>
      </c>
    </row>
    <row r="80" spans="1:21" ht="15" x14ac:dyDescent="0.25">
      <c r="A80" s="38" t="s">
        <v>245</v>
      </c>
      <c r="B80" s="38"/>
      <c r="C80" s="66"/>
      <c r="D80" s="103"/>
      <c r="E80" s="103"/>
      <c r="F80" s="126"/>
      <c r="G80" s="139"/>
      <c r="H80" s="126"/>
      <c r="I80" s="126"/>
      <c r="J80" s="126"/>
      <c r="K80" s="126">
        <f>21</f>
        <v>21</v>
      </c>
      <c r="L80" s="126"/>
      <c r="M80" s="126"/>
      <c r="N80" s="125"/>
    </row>
    <row r="81" spans="1:28" ht="15" x14ac:dyDescent="0.25">
      <c r="A81" s="38" t="s">
        <v>90</v>
      </c>
      <c r="B81" s="38"/>
      <c r="C81" s="66"/>
      <c r="D81" s="103"/>
      <c r="E81" s="103">
        <v>52499</v>
      </c>
      <c r="F81" s="126"/>
      <c r="G81" s="139"/>
      <c r="H81" s="126"/>
      <c r="I81" s="126"/>
      <c r="J81" s="126"/>
      <c r="K81" s="126"/>
      <c r="L81" s="126"/>
      <c r="M81" s="126"/>
      <c r="N81" s="125"/>
      <c r="P81" s="21"/>
    </row>
    <row r="82" spans="1:28" ht="15" x14ac:dyDescent="0.25">
      <c r="A82" s="64" t="s">
        <v>228</v>
      </c>
      <c r="B82" s="38"/>
      <c r="C82" s="66"/>
      <c r="D82" s="103"/>
      <c r="E82" s="103"/>
      <c r="F82" s="126"/>
      <c r="G82" s="139"/>
      <c r="H82" s="126">
        <f>283+594+599+725+552+602+604+456+606+454</f>
        <v>5475</v>
      </c>
      <c r="I82" s="126"/>
      <c r="J82" s="126"/>
      <c r="K82" s="126"/>
      <c r="L82" s="126"/>
      <c r="M82" s="126"/>
      <c r="N82" s="125"/>
      <c r="P82" s="21"/>
    </row>
    <row r="83" spans="1:28" ht="15" x14ac:dyDescent="0.25">
      <c r="A83" s="64" t="s">
        <v>110</v>
      </c>
      <c r="B83" s="38"/>
      <c r="C83" s="66"/>
      <c r="D83" s="103"/>
      <c r="E83" s="103">
        <v>55959</v>
      </c>
      <c r="F83" s="126"/>
      <c r="G83" s="139"/>
      <c r="H83" s="126"/>
      <c r="I83" s="126"/>
      <c r="J83" s="126"/>
      <c r="K83" s="126">
        <f>262+254+264</f>
        <v>780</v>
      </c>
      <c r="L83" s="126">
        <f>1116+549</f>
        <v>1665</v>
      </c>
      <c r="M83" s="126">
        <f>2054+506+1364+1518+770+220</f>
        <v>6432</v>
      </c>
      <c r="N83" s="125">
        <f>41+275+572+305+204+512+512+287+225+308+362+273+356+106+382</f>
        <v>4720</v>
      </c>
      <c r="P83" s="21"/>
    </row>
    <row r="84" spans="1:28" ht="15" x14ac:dyDescent="0.25">
      <c r="A84" s="43" t="s">
        <v>25</v>
      </c>
      <c r="B84" s="43">
        <v>2537</v>
      </c>
      <c r="C84" s="66"/>
      <c r="D84" s="103"/>
      <c r="E84" s="103"/>
      <c r="F84" s="126"/>
      <c r="G84" s="139"/>
      <c r="H84" s="126"/>
      <c r="I84" s="126"/>
      <c r="J84" s="126"/>
      <c r="K84" s="126"/>
      <c r="L84" s="126"/>
      <c r="M84" s="126"/>
      <c r="N84" s="125"/>
    </row>
    <row r="85" spans="1:28" ht="15" x14ac:dyDescent="0.25">
      <c r="A85" s="43" t="s">
        <v>23</v>
      </c>
      <c r="B85" s="43"/>
      <c r="C85" s="66"/>
      <c r="D85" s="103"/>
      <c r="E85" s="103"/>
      <c r="F85" s="126"/>
      <c r="G85" s="139"/>
      <c r="H85" s="126"/>
      <c r="I85" s="126"/>
      <c r="J85" s="126"/>
      <c r="K85" s="126"/>
      <c r="L85" s="126"/>
      <c r="M85" s="126"/>
      <c r="N85" s="125"/>
    </row>
    <row r="86" spans="1:28" ht="15" x14ac:dyDescent="0.25">
      <c r="A86" s="38" t="s">
        <v>16</v>
      </c>
      <c r="B86" s="38"/>
      <c r="C86" s="66"/>
      <c r="D86" s="103"/>
      <c r="E86" s="103"/>
      <c r="F86" s="126"/>
      <c r="G86" s="139">
        <f>132</f>
        <v>132</v>
      </c>
      <c r="H86" s="126"/>
      <c r="I86" s="126"/>
      <c r="J86" s="126"/>
      <c r="K86" s="126"/>
      <c r="L86" s="126"/>
      <c r="M86" s="126"/>
      <c r="N86" s="125">
        <f>72</f>
        <v>72</v>
      </c>
    </row>
    <row r="87" spans="1:28" ht="15" x14ac:dyDescent="0.25">
      <c r="A87" s="38" t="s">
        <v>80</v>
      </c>
      <c r="B87" s="38"/>
      <c r="C87" s="66"/>
      <c r="D87" s="103"/>
      <c r="E87" s="103"/>
      <c r="F87" s="126"/>
      <c r="G87" s="139"/>
      <c r="H87" s="126"/>
      <c r="I87" s="126"/>
      <c r="J87" s="126"/>
      <c r="K87" s="126"/>
      <c r="L87" s="126">
        <f>335+434</f>
        <v>769</v>
      </c>
      <c r="M87" s="126">
        <f>139+208</f>
        <v>347</v>
      </c>
      <c r="N87" s="125"/>
    </row>
    <row r="88" spans="1:28" ht="15" x14ac:dyDescent="0.25">
      <c r="A88" s="38" t="s">
        <v>82</v>
      </c>
      <c r="B88" s="38"/>
      <c r="C88" s="66"/>
      <c r="D88" s="103"/>
      <c r="E88" s="103"/>
      <c r="F88" s="126"/>
      <c r="G88" s="139"/>
      <c r="H88" s="126"/>
      <c r="I88" s="126"/>
      <c r="J88" s="126"/>
      <c r="K88" s="126"/>
      <c r="L88" s="126">
        <f>53610+27400+22400</f>
        <v>103410</v>
      </c>
      <c r="M88" s="126">
        <v>0</v>
      </c>
      <c r="N88" s="125"/>
    </row>
    <row r="89" spans="1:28" ht="15" x14ac:dyDescent="0.25">
      <c r="A89" s="38" t="s">
        <v>14</v>
      </c>
      <c r="B89" s="38">
        <v>263</v>
      </c>
      <c r="C89" s="66"/>
      <c r="D89" s="103">
        <f>638+633+506+319+1025+397+1008+1075+488+2034+1910+904+1675+1248+531+66+1085+775+587+1489+1543+1213+968+359+174+70+1035+366+951+598+365+69+318+784</f>
        <v>27206</v>
      </c>
      <c r="E89" s="103">
        <v>3617</v>
      </c>
      <c r="F89" s="126">
        <f>33+67+62+35</f>
        <v>197</v>
      </c>
      <c r="G89" s="139">
        <f>394+179+598+197+491+1740+2194+3167+2177+2486+2619+3109+3240+2734+1713+8992+4692+4785+4210+4018+5162+2556+2616+2436+3011+1426+1349+1233+888+249+922+765+670+37+738+355+362+572+1783+1593+332+101+748+5711+244</f>
        <v>89594</v>
      </c>
      <c r="H89" s="126">
        <f>889</f>
        <v>889</v>
      </c>
      <c r="I89" s="126"/>
      <c r="J89" s="126">
        <f>1226+1351+1901+2089+5750+5079+4513+4378+5445+3977+2687+1448+2015+2522+2337+1820+209+101+1162+1494+1240+925+1281+1230+1501+582+398+68+1137+934+1763+1731+2438+1052+1435+808+705</f>
        <v>70732</v>
      </c>
      <c r="K89" s="126">
        <f>132+351+742+836+1906+1971+3770+6590+6452+5576+3741+3190+2941+5076+4003+3750+5424+2584+1306+3992+2653+3647+5798+6056+3348+2977+4807+3398+2733+2787+2286+4243+2100+2015+2126+969+1851+1090+984+1058+894+134+454+966+2655+3169+2506+1562+2599+2314+3359+2695+238</f>
        <v>144804</v>
      </c>
      <c r="L89" s="126">
        <f>27</f>
        <v>27</v>
      </c>
      <c r="M89" s="126">
        <f>935+202+264+535+770+472+647+1167+809+5+1067+751+376+781+104+64+1015+64</f>
        <v>10028</v>
      </c>
      <c r="N89" s="125">
        <f>7372+7523+7060+5682+4559+6281+7086+7707+6670+8583+7498+7244+7269+9454+5528+8844+4999+1876+2075+5583+8694+6933+7638+5447+4472+4085+5197+4487+6908+2942+2144+15+141+493+495+478</f>
        <v>189462</v>
      </c>
    </row>
    <row r="90" spans="1:28" ht="15" x14ac:dyDescent="0.25">
      <c r="A90" s="43" t="s">
        <v>39</v>
      </c>
      <c r="B90" s="43">
        <v>40800</v>
      </c>
      <c r="C90" s="66"/>
      <c r="D90" s="103"/>
      <c r="E90" s="103"/>
      <c r="F90" s="126"/>
      <c r="G90" s="139"/>
      <c r="H90" s="126"/>
      <c r="I90" s="126"/>
      <c r="J90" s="126"/>
      <c r="K90" s="126"/>
      <c r="L90" s="126"/>
      <c r="M90" s="126"/>
      <c r="N90" s="125"/>
    </row>
    <row r="91" spans="1:28" ht="15" x14ac:dyDescent="0.25">
      <c r="A91" s="100" t="s">
        <v>85</v>
      </c>
      <c r="B91" s="85"/>
      <c r="C91" s="65"/>
      <c r="D91" s="103"/>
      <c r="E91" s="103">
        <v>50078</v>
      </c>
      <c r="F91" s="126"/>
      <c r="G91" s="139"/>
      <c r="H91" s="126"/>
      <c r="I91" s="126">
        <f>9300+39000+40093+11057</f>
        <v>99450</v>
      </c>
      <c r="J91" s="126"/>
      <c r="K91" s="126"/>
      <c r="L91" s="126">
        <f>27150</f>
        <v>27150</v>
      </c>
      <c r="M91" s="126">
        <f>2231+807+983</f>
        <v>4021</v>
      </c>
      <c r="N91" s="125"/>
    </row>
    <row r="92" spans="1:28" ht="15" x14ac:dyDescent="0.25">
      <c r="A92" s="44" t="s">
        <v>44</v>
      </c>
      <c r="B92" s="85"/>
      <c r="C92" s="65"/>
      <c r="D92" s="103"/>
      <c r="E92" s="103"/>
      <c r="F92" s="126"/>
      <c r="G92" s="139"/>
      <c r="H92" s="126"/>
      <c r="I92" s="126"/>
      <c r="J92" s="126"/>
      <c r="K92" s="126"/>
      <c r="L92" s="126"/>
      <c r="M92" s="126"/>
      <c r="N92" s="125"/>
    </row>
    <row r="93" spans="1:28" ht="15" x14ac:dyDescent="0.25">
      <c r="A93" s="100" t="s">
        <v>229</v>
      </c>
      <c r="B93" s="85"/>
      <c r="C93" s="65"/>
      <c r="D93" s="103"/>
      <c r="E93" s="103"/>
      <c r="F93" s="126"/>
      <c r="G93" s="139"/>
      <c r="H93" s="126">
        <f>54570</f>
        <v>54570</v>
      </c>
      <c r="I93" s="126">
        <f>1200+53400+53520+780+36867+17733+7523+51287+47633+25012+28280+11056+85566+112887+63203+40701+54600</f>
        <v>691248</v>
      </c>
      <c r="J93" s="126"/>
      <c r="K93" s="126">
        <f>23529+27871+10303+44365</f>
        <v>106068</v>
      </c>
      <c r="L93" s="126">
        <f>59950+23037+29065+29828+22672+31844+20656+58957+47161+28536+57458+22946</f>
        <v>432110</v>
      </c>
      <c r="M93" s="126">
        <f>52718+41485+12315+54610+52320+29271+25009+25847+15953+10803+4830+27528</f>
        <v>352689</v>
      </c>
      <c r="N93" s="125">
        <f>52775+54560+21280+6038+44677</f>
        <v>179330</v>
      </c>
    </row>
    <row r="94" spans="1:28" ht="15" x14ac:dyDescent="0.25">
      <c r="A94" s="100" t="s">
        <v>121</v>
      </c>
      <c r="B94" s="85"/>
      <c r="C94" s="65"/>
      <c r="D94" s="103"/>
      <c r="E94" s="103"/>
      <c r="F94" s="126">
        <f>897</f>
        <v>897</v>
      </c>
      <c r="G94" s="139"/>
      <c r="H94" s="126"/>
      <c r="I94" s="126"/>
      <c r="J94" s="126"/>
      <c r="K94" s="126"/>
      <c r="L94" s="126"/>
      <c r="M94" s="126"/>
      <c r="N94" s="125"/>
    </row>
    <row r="95" spans="1:28" ht="15" x14ac:dyDescent="0.25">
      <c r="A95" s="39" t="s">
        <v>5</v>
      </c>
      <c r="B95" s="86">
        <f>SUM(B57:B94)</f>
        <v>711250</v>
      </c>
      <c r="C95" s="102">
        <f>SUM(C57:C77)</f>
        <v>392095</v>
      </c>
      <c r="D95" s="108">
        <f t="shared" ref="D95:J95" si="1">SUM(D57:D94)</f>
        <v>1123009</v>
      </c>
      <c r="E95" s="108">
        <f t="shared" si="1"/>
        <v>1403269</v>
      </c>
      <c r="F95" s="126">
        <f t="shared" si="1"/>
        <v>210799</v>
      </c>
      <c r="G95" s="139">
        <f t="shared" si="1"/>
        <v>289140</v>
      </c>
      <c r="H95" s="126">
        <f t="shared" si="1"/>
        <v>1476701</v>
      </c>
      <c r="I95" s="126">
        <f t="shared" si="1"/>
        <v>1474333</v>
      </c>
      <c r="J95" s="126">
        <f t="shared" si="1"/>
        <v>402373</v>
      </c>
      <c r="K95" s="126">
        <f>SUM(K57:K94)</f>
        <v>1424093</v>
      </c>
      <c r="L95" s="126">
        <f>SUM(L57:L94)</f>
        <v>2878743</v>
      </c>
      <c r="M95" s="126">
        <f>SUM(M57:M94)</f>
        <v>2152746</v>
      </c>
      <c r="N95" s="125">
        <f>SUM(N57:N94)</f>
        <v>2167128</v>
      </c>
      <c r="O95" s="192">
        <f>'Weekliks-Weekly'!N60</f>
        <v>2167.1279999999992</v>
      </c>
      <c r="P95" s="21"/>
      <c r="X95" s="3"/>
      <c r="Y95" s="3"/>
      <c r="Z95" s="3"/>
      <c r="AA95" s="3"/>
      <c r="AB95" s="3"/>
    </row>
    <row r="96" spans="1:28" ht="15" x14ac:dyDescent="0.25">
      <c r="A96" s="39" t="s">
        <v>8</v>
      </c>
      <c r="B96" s="86">
        <f t="shared" ref="B96:K96" si="2">B53+B95</f>
        <v>2442493</v>
      </c>
      <c r="C96" s="102">
        <f t="shared" si="2"/>
        <v>1787248</v>
      </c>
      <c r="D96" s="108">
        <f t="shared" si="2"/>
        <v>2024236</v>
      </c>
      <c r="E96" s="108">
        <f t="shared" si="2"/>
        <v>1939283</v>
      </c>
      <c r="F96" s="108">
        <f t="shared" si="2"/>
        <v>667445</v>
      </c>
      <c r="G96" s="141">
        <f t="shared" si="2"/>
        <v>814219</v>
      </c>
      <c r="H96" s="141">
        <f t="shared" si="2"/>
        <v>2246674</v>
      </c>
      <c r="I96" s="141">
        <f t="shared" si="2"/>
        <v>1942990</v>
      </c>
      <c r="J96" s="141">
        <f t="shared" si="2"/>
        <v>1420564</v>
      </c>
      <c r="K96" s="141">
        <f t="shared" si="2"/>
        <v>2541166</v>
      </c>
      <c r="L96" s="126"/>
      <c r="M96" s="124"/>
      <c r="N96" s="124"/>
      <c r="O96" s="52"/>
    </row>
    <row r="97" spans="15:15" x14ac:dyDescent="0.2">
      <c r="O97" s="21"/>
    </row>
  </sheetData>
  <mergeCells count="1">
    <mergeCell ref="P25:P26"/>
  </mergeCells>
  <phoneticPr fontId="7" type="noConversion"/>
  <pageMargins left="0.75" right="0.75" top="1" bottom="1" header="0.5" footer="0.5"/>
  <pageSetup paperSize="9" scale="4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5"/>
  <sheetViews>
    <sheetView workbookViewId="0">
      <selection activeCell="A6" sqref="A6:G65"/>
    </sheetView>
  </sheetViews>
  <sheetFormatPr defaultRowHeight="12.75" x14ac:dyDescent="0.2"/>
  <cols>
    <col min="1" max="1" width="14.28515625" customWidth="1"/>
    <col min="2" max="2" width="28.140625" bestFit="1" customWidth="1"/>
    <col min="3" max="3" width="10.28515625" customWidth="1"/>
    <col min="4" max="4" width="14.42578125" customWidth="1"/>
    <col min="5" max="5" width="15.28515625" customWidth="1"/>
    <col min="6" max="6" width="12.28515625" customWidth="1"/>
    <col min="7" max="7" width="12.140625" bestFit="1" customWidth="1"/>
  </cols>
  <sheetData>
    <row r="1" spans="1:7" ht="15" x14ac:dyDescent="0.25">
      <c r="A1" s="118" t="s">
        <v>153</v>
      </c>
      <c r="B1" s="119"/>
      <c r="C1" s="119"/>
      <c r="D1" s="119"/>
      <c r="E1" s="119"/>
    </row>
    <row r="2" spans="1:7" ht="15" x14ac:dyDescent="0.25">
      <c r="A2" s="119"/>
      <c r="B2" s="119"/>
      <c r="C2" s="119"/>
      <c r="D2" s="119"/>
      <c r="E2" s="119"/>
    </row>
    <row r="3" spans="1:7" ht="15" x14ac:dyDescent="0.25">
      <c r="A3" s="120" t="s">
        <v>127</v>
      </c>
      <c r="B3" s="121" t="e">
        <f>#REF!</f>
        <v>#REF!</v>
      </c>
      <c r="C3" s="119"/>
      <c r="D3" s="119"/>
      <c r="E3" s="119"/>
    </row>
    <row r="4" spans="1:7" ht="15" x14ac:dyDescent="0.25">
      <c r="A4" s="120" t="s">
        <v>123</v>
      </c>
      <c r="B4" s="122" t="e">
        <f>B3</f>
        <v>#REF!</v>
      </c>
      <c r="C4" s="119"/>
      <c r="D4" s="119"/>
      <c r="E4" s="119"/>
    </row>
    <row r="5" spans="1:7" ht="15" x14ac:dyDescent="0.25">
      <c r="A5" s="119"/>
      <c r="B5" s="119"/>
      <c r="C5" s="119"/>
      <c r="D5" s="119"/>
      <c r="E5" s="119"/>
    </row>
    <row r="6" spans="1:7" ht="15.75" x14ac:dyDescent="0.25">
      <c r="A6" s="216" t="s">
        <v>184</v>
      </c>
      <c r="B6" s="217"/>
      <c r="C6" s="217"/>
      <c r="D6" s="217"/>
      <c r="E6" s="217"/>
      <c r="F6" s="217"/>
      <c r="G6" s="218"/>
    </row>
    <row r="7" spans="1:7" ht="15.75" x14ac:dyDescent="0.25">
      <c r="A7" s="216" t="s">
        <v>144</v>
      </c>
      <c r="B7" s="217"/>
      <c r="C7" s="217"/>
      <c r="D7" s="217"/>
      <c r="E7" s="217"/>
      <c r="F7" s="217"/>
      <c r="G7" s="218"/>
    </row>
    <row r="8" spans="1:7" x14ac:dyDescent="0.2">
      <c r="A8" s="219" t="s">
        <v>116</v>
      </c>
      <c r="B8" s="220"/>
      <c r="C8" s="220"/>
      <c r="D8" s="220"/>
      <c r="E8" s="220"/>
      <c r="F8" s="220"/>
      <c r="G8" s="221"/>
    </row>
    <row r="9" spans="1:7" x14ac:dyDescent="0.2">
      <c r="A9" s="132"/>
      <c r="B9" s="132" t="s">
        <v>114</v>
      </c>
      <c r="C9" s="132" t="s">
        <v>115</v>
      </c>
      <c r="D9" s="132" t="s">
        <v>145</v>
      </c>
      <c r="E9" s="132" t="s">
        <v>182</v>
      </c>
      <c r="F9" s="132" t="s">
        <v>220</v>
      </c>
      <c r="G9" s="132" t="s">
        <v>220</v>
      </c>
    </row>
    <row r="10" spans="1:7" x14ac:dyDescent="0.2">
      <c r="A10" s="131">
        <v>1</v>
      </c>
      <c r="B10" s="131" t="s">
        <v>125</v>
      </c>
      <c r="C10" s="133">
        <v>0</v>
      </c>
      <c r="D10" s="133">
        <v>0</v>
      </c>
      <c r="E10" s="133">
        <v>0</v>
      </c>
      <c r="F10" s="134">
        <f t="shared" ref="F10:F61" si="0">SUM(C10:E10)</f>
        <v>0</v>
      </c>
      <c r="G10" s="134">
        <f>F10</f>
        <v>0</v>
      </c>
    </row>
    <row r="11" spans="1:7" x14ac:dyDescent="0.2">
      <c r="A11" s="131">
        <v>2</v>
      </c>
      <c r="B11" s="131" t="s">
        <v>132</v>
      </c>
      <c r="C11" s="133">
        <v>0</v>
      </c>
      <c r="D11" s="133">
        <v>0</v>
      </c>
      <c r="E11" s="133">
        <v>0</v>
      </c>
      <c r="F11" s="134">
        <f t="shared" si="0"/>
        <v>0</v>
      </c>
      <c r="G11" s="134">
        <f t="shared" ref="G11:G61" si="1">F11+G10</f>
        <v>0</v>
      </c>
    </row>
    <row r="12" spans="1:7" x14ac:dyDescent="0.2">
      <c r="A12" s="131">
        <v>3</v>
      </c>
      <c r="B12" s="131" t="s">
        <v>133</v>
      </c>
      <c r="C12" s="133">
        <v>22313</v>
      </c>
      <c r="D12" s="133">
        <v>0</v>
      </c>
      <c r="E12" s="133">
        <v>0</v>
      </c>
      <c r="F12" s="134">
        <f t="shared" si="0"/>
        <v>22313</v>
      </c>
      <c r="G12" s="134">
        <f t="shared" si="1"/>
        <v>22313</v>
      </c>
    </row>
    <row r="13" spans="1:7" x14ac:dyDescent="0.2">
      <c r="A13" s="131">
        <v>4</v>
      </c>
      <c r="B13" s="131" t="s">
        <v>134</v>
      </c>
      <c r="C13" s="133">
        <v>0</v>
      </c>
      <c r="D13" s="133">
        <v>0</v>
      </c>
      <c r="E13" s="133">
        <v>0</v>
      </c>
      <c r="F13" s="134">
        <f t="shared" si="0"/>
        <v>0</v>
      </c>
      <c r="G13" s="134">
        <f t="shared" si="1"/>
        <v>22313</v>
      </c>
    </row>
    <row r="14" spans="1:7" x14ac:dyDescent="0.2">
      <c r="A14" s="131">
        <v>5</v>
      </c>
      <c r="B14" s="131" t="s">
        <v>135</v>
      </c>
      <c r="C14" s="133">
        <v>0</v>
      </c>
      <c r="D14" s="133">
        <v>0</v>
      </c>
      <c r="E14" s="133">
        <v>0</v>
      </c>
      <c r="F14" s="134">
        <f t="shared" si="0"/>
        <v>0</v>
      </c>
      <c r="G14" s="134">
        <f t="shared" si="1"/>
        <v>22313</v>
      </c>
    </row>
    <row r="15" spans="1:7" x14ac:dyDescent="0.2">
      <c r="A15" s="131">
        <v>6</v>
      </c>
      <c r="B15" s="131" t="s">
        <v>136</v>
      </c>
      <c r="C15" s="133">
        <v>0</v>
      </c>
      <c r="D15" s="133">
        <v>0</v>
      </c>
      <c r="E15" s="133">
        <v>0</v>
      </c>
      <c r="F15" s="134">
        <f t="shared" si="0"/>
        <v>0</v>
      </c>
      <c r="G15" s="134">
        <f t="shared" si="1"/>
        <v>22313</v>
      </c>
    </row>
    <row r="16" spans="1:7" x14ac:dyDescent="0.2">
      <c r="A16" s="131">
        <v>7</v>
      </c>
      <c r="B16" s="131" t="s">
        <v>137</v>
      </c>
      <c r="C16" s="133">
        <v>0</v>
      </c>
      <c r="D16" s="133">
        <v>0</v>
      </c>
      <c r="E16" s="133">
        <v>0</v>
      </c>
      <c r="F16" s="134">
        <f t="shared" si="0"/>
        <v>0</v>
      </c>
      <c r="G16" s="134">
        <f t="shared" si="1"/>
        <v>22313</v>
      </c>
    </row>
    <row r="17" spans="1:7" x14ac:dyDescent="0.2">
      <c r="A17" s="131">
        <v>8</v>
      </c>
      <c r="B17" s="131" t="s">
        <v>138</v>
      </c>
      <c r="C17" s="133">
        <v>0</v>
      </c>
      <c r="D17" s="133">
        <v>0</v>
      </c>
      <c r="E17" s="133">
        <v>0</v>
      </c>
      <c r="F17" s="134">
        <f t="shared" si="0"/>
        <v>0</v>
      </c>
      <c r="G17" s="134">
        <f t="shared" si="1"/>
        <v>22313</v>
      </c>
    </row>
    <row r="18" spans="1:7" x14ac:dyDescent="0.2">
      <c r="A18" s="131">
        <v>9</v>
      </c>
      <c r="B18" s="131" t="s">
        <v>139</v>
      </c>
      <c r="C18" s="133">
        <v>1646</v>
      </c>
      <c r="D18" s="133">
        <v>0</v>
      </c>
      <c r="E18" s="133">
        <v>0</v>
      </c>
      <c r="F18" s="134">
        <f t="shared" si="0"/>
        <v>1646</v>
      </c>
      <c r="G18" s="134">
        <f t="shared" si="1"/>
        <v>23959</v>
      </c>
    </row>
    <row r="19" spans="1:7" x14ac:dyDescent="0.2">
      <c r="A19" s="131">
        <v>10</v>
      </c>
      <c r="B19" s="131" t="s">
        <v>140</v>
      </c>
      <c r="C19" s="133">
        <v>42211</v>
      </c>
      <c r="D19" s="133">
        <v>13807</v>
      </c>
      <c r="E19" s="133">
        <v>0</v>
      </c>
      <c r="F19" s="134">
        <f t="shared" si="0"/>
        <v>56018</v>
      </c>
      <c r="G19" s="134">
        <f t="shared" si="1"/>
        <v>79977</v>
      </c>
    </row>
    <row r="20" spans="1:7" x14ac:dyDescent="0.2">
      <c r="A20" s="131">
        <v>11</v>
      </c>
      <c r="B20" s="131" t="s">
        <v>141</v>
      </c>
      <c r="C20" s="133">
        <v>18983</v>
      </c>
      <c r="D20" s="133">
        <v>0</v>
      </c>
      <c r="E20" s="133">
        <v>0</v>
      </c>
      <c r="F20" s="134">
        <f t="shared" si="0"/>
        <v>18983</v>
      </c>
      <c r="G20" s="134">
        <f t="shared" si="1"/>
        <v>98960</v>
      </c>
    </row>
    <row r="21" spans="1:7" x14ac:dyDescent="0.2">
      <c r="A21" s="131">
        <v>12</v>
      </c>
      <c r="B21" s="131" t="s">
        <v>143</v>
      </c>
      <c r="C21" s="133">
        <v>31496</v>
      </c>
      <c r="D21" s="133">
        <v>600</v>
      </c>
      <c r="E21" s="133">
        <v>0</v>
      </c>
      <c r="F21" s="134">
        <f t="shared" si="0"/>
        <v>32096</v>
      </c>
      <c r="G21" s="134">
        <f t="shared" si="1"/>
        <v>131056</v>
      </c>
    </row>
    <row r="22" spans="1:7" x14ac:dyDescent="0.2">
      <c r="A22" s="131">
        <v>13</v>
      </c>
      <c r="B22" s="131" t="s">
        <v>146</v>
      </c>
      <c r="C22" s="133">
        <v>7745</v>
      </c>
      <c r="D22" s="133">
        <v>15815</v>
      </c>
      <c r="E22" s="133">
        <v>0</v>
      </c>
      <c r="F22" s="134">
        <f t="shared" si="0"/>
        <v>23560</v>
      </c>
      <c r="G22" s="134">
        <f t="shared" si="1"/>
        <v>154616</v>
      </c>
    </row>
    <row r="23" spans="1:7" x14ac:dyDescent="0.2">
      <c r="A23" s="131">
        <v>14</v>
      </c>
      <c r="B23" s="131" t="s">
        <v>150</v>
      </c>
      <c r="C23" s="133">
        <v>17262</v>
      </c>
      <c r="D23" s="133">
        <v>0</v>
      </c>
      <c r="E23" s="133">
        <v>0</v>
      </c>
      <c r="F23" s="134">
        <f t="shared" si="0"/>
        <v>17262</v>
      </c>
      <c r="G23" s="134">
        <f t="shared" si="1"/>
        <v>171878</v>
      </c>
    </row>
    <row r="24" spans="1:7" x14ac:dyDescent="0.2">
      <c r="A24" s="131">
        <v>15</v>
      </c>
      <c r="B24" s="131" t="s">
        <v>151</v>
      </c>
      <c r="C24" s="133">
        <v>0</v>
      </c>
      <c r="D24" s="133">
        <v>2894</v>
      </c>
      <c r="E24" s="133">
        <v>0</v>
      </c>
      <c r="F24" s="134">
        <f t="shared" si="0"/>
        <v>2894</v>
      </c>
      <c r="G24" s="134">
        <f t="shared" si="1"/>
        <v>174772</v>
      </c>
    </row>
    <row r="25" spans="1:7" x14ac:dyDescent="0.2">
      <c r="A25" s="131">
        <v>16</v>
      </c>
      <c r="B25" s="131" t="s">
        <v>157</v>
      </c>
      <c r="C25" s="133">
        <v>28877</v>
      </c>
      <c r="D25" s="133">
        <v>13605</v>
      </c>
      <c r="E25" s="133">
        <v>0</v>
      </c>
      <c r="F25" s="134">
        <f t="shared" si="0"/>
        <v>42482</v>
      </c>
      <c r="G25" s="134">
        <f t="shared" si="1"/>
        <v>217254</v>
      </c>
    </row>
    <row r="26" spans="1:7" x14ac:dyDescent="0.2">
      <c r="A26" s="131">
        <v>17</v>
      </c>
      <c r="B26" s="131" t="s">
        <v>158</v>
      </c>
      <c r="C26" s="133">
        <v>58091</v>
      </c>
      <c r="D26" s="133">
        <v>0</v>
      </c>
      <c r="E26" s="133">
        <v>0</v>
      </c>
      <c r="F26" s="134">
        <f t="shared" si="0"/>
        <v>58091</v>
      </c>
      <c r="G26" s="134">
        <f t="shared" si="1"/>
        <v>275345</v>
      </c>
    </row>
    <row r="27" spans="1:7" x14ac:dyDescent="0.2">
      <c r="A27" s="131">
        <v>18</v>
      </c>
      <c r="B27" s="131" t="s">
        <v>159</v>
      </c>
      <c r="C27" s="133">
        <v>14049</v>
      </c>
      <c r="D27" s="133">
        <v>4542</v>
      </c>
      <c r="E27" s="133">
        <v>0</v>
      </c>
      <c r="F27" s="134">
        <f t="shared" si="0"/>
        <v>18591</v>
      </c>
      <c r="G27" s="134">
        <f t="shared" si="1"/>
        <v>293936</v>
      </c>
    </row>
    <row r="28" spans="1:7" x14ac:dyDescent="0.2">
      <c r="A28" s="131">
        <v>19</v>
      </c>
      <c r="B28" s="131" t="s">
        <v>170</v>
      </c>
      <c r="C28" s="133">
        <v>65488</v>
      </c>
      <c r="D28" s="133">
        <v>8978</v>
      </c>
      <c r="E28" s="133">
        <v>0</v>
      </c>
      <c r="F28" s="134">
        <f t="shared" si="0"/>
        <v>74466</v>
      </c>
      <c r="G28" s="134">
        <f t="shared" si="1"/>
        <v>368402</v>
      </c>
    </row>
    <row r="29" spans="1:7" x14ac:dyDescent="0.2">
      <c r="A29" s="131">
        <v>20</v>
      </c>
      <c r="B29" s="131" t="s">
        <v>171</v>
      </c>
      <c r="C29" s="133">
        <v>0</v>
      </c>
      <c r="D29" s="133">
        <v>0</v>
      </c>
      <c r="E29" s="133">
        <v>0</v>
      </c>
      <c r="F29" s="134">
        <f t="shared" si="0"/>
        <v>0</v>
      </c>
      <c r="G29" s="134">
        <f t="shared" si="1"/>
        <v>368402</v>
      </c>
    </row>
    <row r="30" spans="1:7" x14ac:dyDescent="0.2">
      <c r="A30" s="131">
        <v>21</v>
      </c>
      <c r="B30" s="131" t="s">
        <v>172</v>
      </c>
      <c r="C30" s="133">
        <v>0</v>
      </c>
      <c r="D30" s="133">
        <v>17504</v>
      </c>
      <c r="E30" s="133">
        <v>0</v>
      </c>
      <c r="F30" s="134">
        <f t="shared" si="0"/>
        <v>17504</v>
      </c>
      <c r="G30" s="134">
        <f t="shared" si="1"/>
        <v>385906</v>
      </c>
    </row>
    <row r="31" spans="1:7" x14ac:dyDescent="0.2">
      <c r="A31" s="131">
        <v>22</v>
      </c>
      <c r="B31" s="131" t="s">
        <v>173</v>
      </c>
      <c r="C31" s="133">
        <v>33320</v>
      </c>
      <c r="D31" s="133">
        <v>0</v>
      </c>
      <c r="E31" s="133">
        <v>0</v>
      </c>
      <c r="F31" s="134">
        <f t="shared" si="0"/>
        <v>33320</v>
      </c>
      <c r="G31" s="134">
        <f t="shared" si="1"/>
        <v>419226</v>
      </c>
    </row>
    <row r="32" spans="1:7" x14ac:dyDescent="0.2">
      <c r="A32" s="131">
        <v>23</v>
      </c>
      <c r="B32" s="131" t="s">
        <v>174</v>
      </c>
      <c r="C32" s="133">
        <v>20565</v>
      </c>
      <c r="D32" s="133">
        <v>0</v>
      </c>
      <c r="E32" s="133">
        <v>0</v>
      </c>
      <c r="F32" s="134">
        <f t="shared" si="0"/>
        <v>20565</v>
      </c>
      <c r="G32" s="134">
        <f t="shared" si="1"/>
        <v>439791</v>
      </c>
    </row>
    <row r="33" spans="1:7" x14ac:dyDescent="0.2">
      <c r="A33" s="131">
        <v>24</v>
      </c>
      <c r="B33" s="131" t="s">
        <v>175</v>
      </c>
      <c r="C33" s="133">
        <v>6544</v>
      </c>
      <c r="D33" s="133">
        <v>0</v>
      </c>
      <c r="E33" s="133">
        <v>0</v>
      </c>
      <c r="F33" s="134">
        <f t="shared" si="0"/>
        <v>6544</v>
      </c>
      <c r="G33" s="134">
        <f t="shared" si="1"/>
        <v>446335</v>
      </c>
    </row>
    <row r="34" spans="1:7" x14ac:dyDescent="0.2">
      <c r="A34" s="131">
        <v>25</v>
      </c>
      <c r="B34" s="131" t="s">
        <v>176</v>
      </c>
      <c r="C34" s="133">
        <v>28262</v>
      </c>
      <c r="D34" s="133">
        <v>0</v>
      </c>
      <c r="E34" s="133">
        <v>0</v>
      </c>
      <c r="F34" s="134">
        <f t="shared" si="0"/>
        <v>28262</v>
      </c>
      <c r="G34" s="134">
        <f t="shared" si="1"/>
        <v>474597</v>
      </c>
    </row>
    <row r="35" spans="1:7" x14ac:dyDescent="0.2">
      <c r="A35" s="131">
        <v>26</v>
      </c>
      <c r="B35" s="131" t="s">
        <v>178</v>
      </c>
      <c r="C35" s="133">
        <v>36656</v>
      </c>
      <c r="D35" s="133">
        <v>20660</v>
      </c>
      <c r="E35" s="133">
        <v>0</v>
      </c>
      <c r="F35" s="134">
        <f t="shared" si="0"/>
        <v>57316</v>
      </c>
      <c r="G35" s="134">
        <f t="shared" si="1"/>
        <v>531913</v>
      </c>
    </row>
    <row r="36" spans="1:7" x14ac:dyDescent="0.2">
      <c r="A36" s="131">
        <v>27</v>
      </c>
      <c r="B36" s="131" t="s">
        <v>179</v>
      </c>
      <c r="C36" s="133">
        <v>57153</v>
      </c>
      <c r="D36" s="133">
        <v>5843</v>
      </c>
      <c r="E36" s="133">
        <v>0</v>
      </c>
      <c r="F36" s="134">
        <f t="shared" si="0"/>
        <v>62996</v>
      </c>
      <c r="G36" s="134">
        <f t="shared" si="1"/>
        <v>594909</v>
      </c>
    </row>
    <row r="37" spans="1:7" x14ac:dyDescent="0.2">
      <c r="A37" s="131">
        <v>28</v>
      </c>
      <c r="B37" s="131" t="s">
        <v>180</v>
      </c>
      <c r="C37" s="133">
        <v>18023</v>
      </c>
      <c r="D37" s="133">
        <v>0</v>
      </c>
      <c r="E37" s="133">
        <v>0</v>
      </c>
      <c r="F37" s="134">
        <f t="shared" si="0"/>
        <v>18023</v>
      </c>
      <c r="G37" s="134">
        <f t="shared" si="1"/>
        <v>612932</v>
      </c>
    </row>
    <row r="38" spans="1:7" x14ac:dyDescent="0.2">
      <c r="A38" s="131">
        <v>29</v>
      </c>
      <c r="B38" s="131" t="s">
        <v>181</v>
      </c>
      <c r="C38" s="133">
        <v>49972</v>
      </c>
      <c r="D38" s="133">
        <v>0</v>
      </c>
      <c r="E38" s="133">
        <v>2482</v>
      </c>
      <c r="F38" s="134">
        <f t="shared" si="0"/>
        <v>52454</v>
      </c>
      <c r="G38" s="134">
        <f t="shared" si="1"/>
        <v>665386</v>
      </c>
    </row>
    <row r="39" spans="1:7" x14ac:dyDescent="0.2">
      <c r="A39" s="131">
        <v>30</v>
      </c>
      <c r="B39" s="131" t="s">
        <v>183</v>
      </c>
      <c r="C39" s="133">
        <v>28646</v>
      </c>
      <c r="D39" s="133">
        <v>11475</v>
      </c>
      <c r="E39" s="133">
        <v>7805</v>
      </c>
      <c r="F39" s="134">
        <f t="shared" si="0"/>
        <v>47926</v>
      </c>
      <c r="G39" s="134">
        <f t="shared" si="1"/>
        <v>713312</v>
      </c>
    </row>
    <row r="40" spans="1:7" x14ac:dyDescent="0.2">
      <c r="A40" s="131">
        <v>31</v>
      </c>
      <c r="B40" s="131" t="s">
        <v>185</v>
      </c>
      <c r="C40" s="133">
        <v>32601</v>
      </c>
      <c r="D40" s="133">
        <v>9267</v>
      </c>
      <c r="E40" s="133">
        <v>0</v>
      </c>
      <c r="F40" s="134">
        <f t="shared" si="0"/>
        <v>41868</v>
      </c>
      <c r="G40" s="134">
        <f t="shared" si="1"/>
        <v>755180</v>
      </c>
    </row>
    <row r="41" spans="1:7" x14ac:dyDescent="0.2">
      <c r="A41" s="131">
        <v>32</v>
      </c>
      <c r="B41" s="131" t="s">
        <v>186</v>
      </c>
      <c r="C41" s="133">
        <v>0</v>
      </c>
      <c r="D41" s="133">
        <v>0</v>
      </c>
      <c r="E41" s="133">
        <v>0</v>
      </c>
      <c r="F41" s="134">
        <f t="shared" si="0"/>
        <v>0</v>
      </c>
      <c r="G41" s="134">
        <f t="shared" si="1"/>
        <v>755180</v>
      </c>
    </row>
    <row r="42" spans="1:7" x14ac:dyDescent="0.2">
      <c r="A42" s="131">
        <v>33</v>
      </c>
      <c r="B42" s="131" t="s">
        <v>187</v>
      </c>
      <c r="C42" s="133">
        <v>0</v>
      </c>
      <c r="D42" s="133">
        <v>0</v>
      </c>
      <c r="E42" s="133">
        <v>0</v>
      </c>
      <c r="F42" s="134">
        <f t="shared" si="0"/>
        <v>0</v>
      </c>
      <c r="G42" s="134">
        <f t="shared" si="1"/>
        <v>755180</v>
      </c>
    </row>
    <row r="43" spans="1:7" x14ac:dyDescent="0.2">
      <c r="A43" s="131">
        <v>34</v>
      </c>
      <c r="B43" s="131" t="s">
        <v>188</v>
      </c>
      <c r="C43" s="133">
        <v>0</v>
      </c>
      <c r="D43" s="133">
        <v>0</v>
      </c>
      <c r="E43" s="133">
        <v>0</v>
      </c>
      <c r="F43" s="134">
        <f t="shared" si="0"/>
        <v>0</v>
      </c>
      <c r="G43" s="134">
        <f t="shared" si="1"/>
        <v>755180</v>
      </c>
    </row>
    <row r="44" spans="1:7" x14ac:dyDescent="0.2">
      <c r="A44" s="131">
        <v>35</v>
      </c>
      <c r="B44" s="131" t="s">
        <v>189</v>
      </c>
      <c r="C44" s="133">
        <v>17521</v>
      </c>
      <c r="D44" s="133">
        <v>26061</v>
      </c>
      <c r="E44" s="133">
        <v>0</v>
      </c>
      <c r="F44" s="134">
        <f t="shared" si="0"/>
        <v>43582</v>
      </c>
      <c r="G44" s="134">
        <f t="shared" si="1"/>
        <v>798762</v>
      </c>
    </row>
    <row r="45" spans="1:7" x14ac:dyDescent="0.2">
      <c r="A45" s="131">
        <v>36</v>
      </c>
      <c r="B45" s="131" t="s">
        <v>191</v>
      </c>
      <c r="C45" s="133">
        <v>4145</v>
      </c>
      <c r="D45" s="133">
        <v>0</v>
      </c>
      <c r="E45" s="133">
        <v>0</v>
      </c>
      <c r="F45" s="134">
        <f t="shared" si="0"/>
        <v>4145</v>
      </c>
      <c r="G45" s="134">
        <f t="shared" si="1"/>
        <v>802907</v>
      </c>
    </row>
    <row r="46" spans="1:7" x14ac:dyDescent="0.2">
      <c r="A46" s="131">
        <v>37</v>
      </c>
      <c r="B46" s="131" t="s">
        <v>192</v>
      </c>
      <c r="C46" s="133">
        <v>26531</v>
      </c>
      <c r="D46" s="133">
        <v>0</v>
      </c>
      <c r="E46" s="133">
        <v>0</v>
      </c>
      <c r="F46" s="134">
        <f t="shared" si="0"/>
        <v>26531</v>
      </c>
      <c r="G46" s="134">
        <f t="shared" si="1"/>
        <v>829438</v>
      </c>
    </row>
    <row r="47" spans="1:7" x14ac:dyDescent="0.2">
      <c r="A47" s="131">
        <v>38</v>
      </c>
      <c r="B47" s="131" t="s">
        <v>193</v>
      </c>
      <c r="C47" s="133">
        <v>0</v>
      </c>
      <c r="D47" s="133">
        <v>0</v>
      </c>
      <c r="E47" s="133">
        <v>0</v>
      </c>
      <c r="F47" s="134">
        <f t="shared" si="0"/>
        <v>0</v>
      </c>
      <c r="G47" s="134">
        <f t="shared" si="1"/>
        <v>829438</v>
      </c>
    </row>
    <row r="48" spans="1:7" x14ac:dyDescent="0.2">
      <c r="A48" s="131">
        <v>39</v>
      </c>
      <c r="B48" s="131" t="s">
        <v>195</v>
      </c>
      <c r="C48" s="133">
        <v>17090</v>
      </c>
      <c r="D48" s="133">
        <v>4307</v>
      </c>
      <c r="E48" s="133">
        <v>0</v>
      </c>
      <c r="F48" s="134">
        <f t="shared" si="0"/>
        <v>21397</v>
      </c>
      <c r="G48" s="134">
        <f t="shared" si="1"/>
        <v>850835</v>
      </c>
    </row>
    <row r="49" spans="1:7" x14ac:dyDescent="0.2">
      <c r="A49" s="131">
        <v>40</v>
      </c>
      <c r="B49" s="131" t="s">
        <v>198</v>
      </c>
      <c r="C49" s="133">
        <v>0</v>
      </c>
      <c r="D49" s="133">
        <v>16740</v>
      </c>
      <c r="E49" s="133">
        <v>0</v>
      </c>
      <c r="F49" s="134">
        <f t="shared" si="0"/>
        <v>16740</v>
      </c>
      <c r="G49" s="134">
        <f t="shared" si="1"/>
        <v>867575</v>
      </c>
    </row>
    <row r="50" spans="1:7" x14ac:dyDescent="0.2">
      <c r="A50" s="131">
        <v>41</v>
      </c>
      <c r="B50" s="131" t="s">
        <v>201</v>
      </c>
      <c r="C50" s="133">
        <v>0</v>
      </c>
      <c r="D50" s="133">
        <v>3590</v>
      </c>
      <c r="E50" s="133">
        <v>0</v>
      </c>
      <c r="F50" s="134">
        <f t="shared" si="0"/>
        <v>3590</v>
      </c>
      <c r="G50" s="134">
        <f t="shared" si="1"/>
        <v>871165</v>
      </c>
    </row>
    <row r="51" spans="1:7" x14ac:dyDescent="0.2">
      <c r="A51" s="131">
        <v>42</v>
      </c>
      <c r="B51" s="131" t="s">
        <v>202</v>
      </c>
      <c r="C51" s="133">
        <v>0</v>
      </c>
      <c r="D51" s="133">
        <v>0</v>
      </c>
      <c r="E51" s="133">
        <v>0</v>
      </c>
      <c r="F51" s="134">
        <f t="shared" si="0"/>
        <v>0</v>
      </c>
      <c r="G51" s="134">
        <f t="shared" si="1"/>
        <v>871165</v>
      </c>
    </row>
    <row r="52" spans="1:7" x14ac:dyDescent="0.2">
      <c r="A52" s="131">
        <v>43</v>
      </c>
      <c r="B52" s="131" t="s">
        <v>204</v>
      </c>
      <c r="C52" s="133">
        <v>0</v>
      </c>
      <c r="D52" s="133">
        <v>0</v>
      </c>
      <c r="E52" s="133">
        <v>0</v>
      </c>
      <c r="F52" s="134">
        <f t="shared" si="0"/>
        <v>0</v>
      </c>
      <c r="G52" s="134">
        <f t="shared" si="1"/>
        <v>871165</v>
      </c>
    </row>
    <row r="53" spans="1:7" x14ac:dyDescent="0.2">
      <c r="A53" s="131">
        <v>44</v>
      </c>
      <c r="B53" s="131" t="s">
        <v>206</v>
      </c>
      <c r="C53" s="133">
        <v>0</v>
      </c>
      <c r="D53" s="133">
        <v>0</v>
      </c>
      <c r="E53" s="133">
        <v>0</v>
      </c>
      <c r="F53" s="134">
        <f t="shared" si="0"/>
        <v>0</v>
      </c>
      <c r="G53" s="134">
        <f t="shared" si="1"/>
        <v>871165</v>
      </c>
    </row>
    <row r="54" spans="1:7" x14ac:dyDescent="0.2">
      <c r="A54" s="131">
        <v>45</v>
      </c>
      <c r="B54" s="131" t="s">
        <v>207</v>
      </c>
      <c r="C54" s="133">
        <v>0</v>
      </c>
      <c r="D54" s="133">
        <v>0</v>
      </c>
      <c r="E54" s="133">
        <v>0</v>
      </c>
      <c r="F54" s="134">
        <f t="shared" si="0"/>
        <v>0</v>
      </c>
      <c r="G54" s="134">
        <f t="shared" si="1"/>
        <v>871165</v>
      </c>
    </row>
    <row r="55" spans="1:7" x14ac:dyDescent="0.2">
      <c r="A55" s="131">
        <v>46</v>
      </c>
      <c r="B55" s="131" t="s">
        <v>208</v>
      </c>
      <c r="C55" s="133">
        <v>16455</v>
      </c>
      <c r="D55" s="133">
        <v>0</v>
      </c>
      <c r="E55" s="133">
        <v>0</v>
      </c>
      <c r="F55" s="134">
        <f t="shared" si="0"/>
        <v>16455</v>
      </c>
      <c r="G55" s="134">
        <f t="shared" si="1"/>
        <v>887620</v>
      </c>
    </row>
    <row r="56" spans="1:7" x14ac:dyDescent="0.2">
      <c r="A56" s="131">
        <v>47</v>
      </c>
      <c r="B56" s="131" t="s">
        <v>209</v>
      </c>
      <c r="C56" s="133">
        <v>560</v>
      </c>
      <c r="D56" s="133">
        <v>10652</v>
      </c>
      <c r="E56" s="133">
        <v>0</v>
      </c>
      <c r="F56" s="134">
        <f t="shared" si="0"/>
        <v>11212</v>
      </c>
      <c r="G56" s="134">
        <f t="shared" si="1"/>
        <v>898832</v>
      </c>
    </row>
    <row r="57" spans="1:7" x14ac:dyDescent="0.2">
      <c r="A57" s="131">
        <v>48</v>
      </c>
      <c r="B57" s="131" t="s">
        <v>211</v>
      </c>
      <c r="C57" s="133">
        <v>0</v>
      </c>
      <c r="D57" s="133">
        <v>14068</v>
      </c>
      <c r="E57" s="133">
        <v>0</v>
      </c>
      <c r="F57" s="134">
        <f t="shared" si="0"/>
        <v>14068</v>
      </c>
      <c r="G57" s="134">
        <f t="shared" si="1"/>
        <v>912900</v>
      </c>
    </row>
    <row r="58" spans="1:7" x14ac:dyDescent="0.2">
      <c r="A58" s="131">
        <v>49</v>
      </c>
      <c r="B58" s="131" t="s">
        <v>213</v>
      </c>
      <c r="C58" s="133">
        <v>0</v>
      </c>
      <c r="D58" s="133">
        <v>0</v>
      </c>
      <c r="E58" s="133">
        <v>0</v>
      </c>
      <c r="F58" s="134">
        <f t="shared" si="0"/>
        <v>0</v>
      </c>
      <c r="G58" s="134">
        <f t="shared" si="1"/>
        <v>912900</v>
      </c>
    </row>
    <row r="59" spans="1:7" x14ac:dyDescent="0.2">
      <c r="A59" s="131">
        <v>50</v>
      </c>
      <c r="B59" s="131" t="s">
        <v>214</v>
      </c>
      <c r="C59" s="133">
        <v>0</v>
      </c>
      <c r="D59" s="133">
        <v>0</v>
      </c>
      <c r="E59" s="133">
        <v>0</v>
      </c>
      <c r="F59" s="134">
        <f t="shared" si="0"/>
        <v>0</v>
      </c>
      <c r="G59" s="134">
        <f t="shared" si="1"/>
        <v>912900</v>
      </c>
    </row>
    <row r="60" spans="1:7" x14ac:dyDescent="0.2">
      <c r="A60" s="131">
        <v>51</v>
      </c>
      <c r="B60" s="131" t="s">
        <v>217</v>
      </c>
      <c r="C60" s="133">
        <v>0</v>
      </c>
      <c r="D60" s="133">
        <v>0</v>
      </c>
      <c r="E60" s="133">
        <v>0</v>
      </c>
      <c r="F60" s="134">
        <f t="shared" si="0"/>
        <v>0</v>
      </c>
      <c r="G60" s="134">
        <f t="shared" si="1"/>
        <v>912900</v>
      </c>
    </row>
    <row r="61" spans="1:7" x14ac:dyDescent="0.2">
      <c r="A61" s="131">
        <v>52</v>
      </c>
      <c r="B61" s="131" t="s">
        <v>218</v>
      </c>
      <c r="C61" s="133">
        <v>0</v>
      </c>
      <c r="D61" s="133">
        <v>0</v>
      </c>
      <c r="E61" s="133">
        <v>0</v>
      </c>
      <c r="F61" s="134">
        <f t="shared" si="0"/>
        <v>0</v>
      </c>
      <c r="G61" s="134">
        <f t="shared" si="1"/>
        <v>912900</v>
      </c>
    </row>
    <row r="62" spans="1:7" x14ac:dyDescent="0.2">
      <c r="A62" s="131" t="s">
        <v>116</v>
      </c>
      <c r="B62" s="131" t="s">
        <v>117</v>
      </c>
      <c r="C62" s="134">
        <f>SUM(C10:C61)</f>
        <v>702205</v>
      </c>
      <c r="D62" s="134">
        <f>SUM(D10:D61)</f>
        <v>200408</v>
      </c>
      <c r="E62" s="134">
        <f>SUM(E10:E61)</f>
        <v>10287</v>
      </c>
      <c r="F62" s="134">
        <f>SUM(F10:F61)</f>
        <v>912900</v>
      </c>
      <c r="G62" s="134"/>
    </row>
    <row r="64" spans="1:7" ht="15" x14ac:dyDescent="0.25">
      <c r="A64" s="129" t="s">
        <v>221</v>
      </c>
      <c r="B64" s="129"/>
    </row>
    <row r="65" spans="1:2" ht="15" x14ac:dyDescent="0.25">
      <c r="A65" s="129" t="s">
        <v>222</v>
      </c>
      <c r="B65" s="129"/>
    </row>
  </sheetData>
  <mergeCells count="3">
    <mergeCell ref="A6:G6"/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5"/>
  <sheetViews>
    <sheetView workbookViewId="0">
      <selection activeCell="A6" sqref="A6:H65"/>
    </sheetView>
  </sheetViews>
  <sheetFormatPr defaultRowHeight="12.75" x14ac:dyDescent="0.2"/>
  <cols>
    <col min="1" max="1" width="14.140625" customWidth="1"/>
    <col min="2" max="2" width="27.28515625" bestFit="1" customWidth="1"/>
    <col min="3" max="3" width="12" bestFit="1" customWidth="1"/>
    <col min="4" max="4" width="7.85546875" bestFit="1" customWidth="1"/>
    <col min="5" max="6" width="12.85546875" bestFit="1" customWidth="1"/>
    <col min="7" max="7" width="12" bestFit="1" customWidth="1"/>
    <col min="8" max="8" width="12.140625" bestFit="1" customWidth="1"/>
    <col min="9" max="9" width="11.140625" bestFit="1" customWidth="1"/>
  </cols>
  <sheetData>
    <row r="1" spans="1:8" ht="15" x14ac:dyDescent="0.25">
      <c r="A1" s="118" t="s">
        <v>152</v>
      </c>
      <c r="B1" s="119"/>
      <c r="C1" s="119"/>
      <c r="D1" s="119"/>
      <c r="E1" s="119"/>
      <c r="F1" s="119"/>
    </row>
    <row r="2" spans="1:8" ht="15" x14ac:dyDescent="0.25">
      <c r="A2" s="119"/>
      <c r="B2" s="119"/>
      <c r="C2" s="119"/>
      <c r="D2" s="119"/>
      <c r="E2" s="119"/>
      <c r="F2" s="119"/>
    </row>
    <row r="3" spans="1:8" ht="15" x14ac:dyDescent="0.25">
      <c r="A3" s="120" t="s">
        <v>127</v>
      </c>
      <c r="B3" s="121" t="e">
        <f>#REF!</f>
        <v>#REF!</v>
      </c>
      <c r="C3" s="119"/>
      <c r="D3" s="119"/>
      <c r="E3" s="119"/>
      <c r="F3" s="119"/>
    </row>
    <row r="4" spans="1:8" ht="15" x14ac:dyDescent="0.25">
      <c r="A4" s="120" t="s">
        <v>123</v>
      </c>
      <c r="B4" s="122" t="e">
        <f>B3</f>
        <v>#REF!</v>
      </c>
      <c r="C4" s="119"/>
      <c r="D4" s="119"/>
      <c r="E4" s="119"/>
      <c r="F4" s="119"/>
    </row>
    <row r="5" spans="1:8" ht="15" x14ac:dyDescent="0.25">
      <c r="A5" s="119"/>
      <c r="B5" s="119"/>
      <c r="C5" s="119"/>
      <c r="D5" s="119"/>
      <c r="E5" s="119"/>
      <c r="F5" s="119"/>
    </row>
    <row r="6" spans="1:8" ht="15.75" x14ac:dyDescent="0.25">
      <c r="A6" s="216" t="s">
        <v>196</v>
      </c>
      <c r="B6" s="217"/>
      <c r="C6" s="217"/>
      <c r="D6" s="217"/>
      <c r="E6" s="217"/>
      <c r="F6" s="217"/>
      <c r="G6" s="217"/>
      <c r="H6" s="218"/>
    </row>
    <row r="7" spans="1:8" ht="15.75" x14ac:dyDescent="0.25">
      <c r="A7" s="216" t="s">
        <v>124</v>
      </c>
      <c r="B7" s="217"/>
      <c r="C7" s="217"/>
      <c r="D7" s="217"/>
      <c r="E7" s="217"/>
      <c r="F7" s="217"/>
      <c r="G7" s="217"/>
      <c r="H7" s="218"/>
    </row>
    <row r="8" spans="1:8" x14ac:dyDescent="0.2">
      <c r="A8" s="219" t="s">
        <v>116</v>
      </c>
      <c r="B8" s="220"/>
      <c r="C8" s="220"/>
      <c r="D8" s="220"/>
      <c r="E8" s="220"/>
      <c r="F8" s="220"/>
      <c r="G8" s="220"/>
      <c r="H8" s="221"/>
    </row>
    <row r="9" spans="1:8" x14ac:dyDescent="0.2">
      <c r="A9" s="132"/>
      <c r="B9" s="132" t="s">
        <v>114</v>
      </c>
      <c r="C9" s="132" t="s">
        <v>118</v>
      </c>
      <c r="D9" s="132" t="s">
        <v>115</v>
      </c>
      <c r="E9" s="132" t="s">
        <v>145</v>
      </c>
      <c r="F9" s="132" t="s">
        <v>119</v>
      </c>
      <c r="G9" s="132" t="s">
        <v>220</v>
      </c>
      <c r="H9" s="132" t="s">
        <v>220</v>
      </c>
    </row>
    <row r="10" spans="1:8" x14ac:dyDescent="0.2">
      <c r="A10" s="131">
        <v>1</v>
      </c>
      <c r="B10" s="131" t="s">
        <v>125</v>
      </c>
      <c r="C10" s="133">
        <v>16689</v>
      </c>
      <c r="D10" s="133">
        <v>7161</v>
      </c>
      <c r="E10" s="133">
        <v>0</v>
      </c>
      <c r="F10" s="133">
        <v>2460</v>
      </c>
      <c r="G10" s="134">
        <f t="shared" ref="G10:G61" si="0">SUM(C10:F10)</f>
        <v>26310</v>
      </c>
      <c r="H10" s="134">
        <f>G10</f>
        <v>26310</v>
      </c>
    </row>
    <row r="11" spans="1:8" x14ac:dyDescent="0.2">
      <c r="A11" s="131">
        <v>2</v>
      </c>
      <c r="B11" s="131" t="s">
        <v>132</v>
      </c>
      <c r="C11" s="133">
        <v>48801</v>
      </c>
      <c r="D11" s="133">
        <v>7109</v>
      </c>
      <c r="E11" s="133">
        <v>0</v>
      </c>
      <c r="F11" s="133">
        <v>0</v>
      </c>
      <c r="G11" s="134">
        <f t="shared" si="0"/>
        <v>55910</v>
      </c>
      <c r="H11" s="134">
        <f t="shared" ref="H11:H61" si="1">G11+H10</f>
        <v>82220</v>
      </c>
    </row>
    <row r="12" spans="1:8" x14ac:dyDescent="0.2">
      <c r="A12" s="131">
        <v>3</v>
      </c>
      <c r="B12" s="131" t="s">
        <v>133</v>
      </c>
      <c r="C12" s="133">
        <v>28425</v>
      </c>
      <c r="D12" s="133">
        <v>0</v>
      </c>
      <c r="E12" s="133">
        <v>0</v>
      </c>
      <c r="F12" s="133">
        <v>0</v>
      </c>
      <c r="G12" s="134">
        <f t="shared" si="0"/>
        <v>28425</v>
      </c>
      <c r="H12" s="134">
        <f t="shared" si="1"/>
        <v>110645</v>
      </c>
    </row>
    <row r="13" spans="1:8" x14ac:dyDescent="0.2">
      <c r="A13" s="131">
        <v>4</v>
      </c>
      <c r="B13" s="131" t="s">
        <v>134</v>
      </c>
      <c r="C13" s="133">
        <v>3802</v>
      </c>
      <c r="D13" s="133">
        <v>32831</v>
      </c>
      <c r="E13" s="133">
        <v>0</v>
      </c>
      <c r="F13" s="133">
        <v>0</v>
      </c>
      <c r="G13" s="134">
        <f t="shared" si="0"/>
        <v>36633</v>
      </c>
      <c r="H13" s="134">
        <f t="shared" si="1"/>
        <v>147278</v>
      </c>
    </row>
    <row r="14" spans="1:8" x14ac:dyDescent="0.2">
      <c r="A14" s="131">
        <v>5</v>
      </c>
      <c r="B14" s="131" t="s">
        <v>135</v>
      </c>
      <c r="C14" s="133">
        <v>8237</v>
      </c>
      <c r="D14" s="133">
        <v>0</v>
      </c>
      <c r="E14" s="133">
        <v>0</v>
      </c>
      <c r="F14" s="133">
        <v>15184</v>
      </c>
      <c r="G14" s="134">
        <f t="shared" si="0"/>
        <v>23421</v>
      </c>
      <c r="H14" s="134">
        <f t="shared" si="1"/>
        <v>170699</v>
      </c>
    </row>
    <row r="15" spans="1:8" x14ac:dyDescent="0.2">
      <c r="A15" s="131">
        <v>6</v>
      </c>
      <c r="B15" s="131" t="s">
        <v>136</v>
      </c>
      <c r="C15" s="133">
        <v>24500</v>
      </c>
      <c r="D15" s="133">
        <v>25096</v>
      </c>
      <c r="E15" s="133">
        <v>0</v>
      </c>
      <c r="F15" s="133">
        <v>13698</v>
      </c>
      <c r="G15" s="134">
        <f t="shared" si="0"/>
        <v>63294</v>
      </c>
      <c r="H15" s="134">
        <f t="shared" si="1"/>
        <v>233993</v>
      </c>
    </row>
    <row r="16" spans="1:8" x14ac:dyDescent="0.2">
      <c r="A16" s="131">
        <v>7</v>
      </c>
      <c r="B16" s="131" t="s">
        <v>137</v>
      </c>
      <c r="C16" s="133">
        <v>0</v>
      </c>
      <c r="D16" s="133">
        <v>0</v>
      </c>
      <c r="E16" s="133">
        <v>0</v>
      </c>
      <c r="F16" s="133">
        <v>0</v>
      </c>
      <c r="G16" s="134">
        <f t="shared" si="0"/>
        <v>0</v>
      </c>
      <c r="H16" s="134">
        <f t="shared" si="1"/>
        <v>233993</v>
      </c>
    </row>
    <row r="17" spans="1:8" x14ac:dyDescent="0.2">
      <c r="A17" s="131">
        <v>8</v>
      </c>
      <c r="B17" s="131" t="s">
        <v>138</v>
      </c>
      <c r="C17" s="133">
        <v>23166</v>
      </c>
      <c r="D17" s="133">
        <v>0</v>
      </c>
      <c r="E17" s="133">
        <v>0</v>
      </c>
      <c r="F17" s="133">
        <v>0</v>
      </c>
      <c r="G17" s="134">
        <f t="shared" si="0"/>
        <v>23166</v>
      </c>
      <c r="H17" s="134">
        <f t="shared" si="1"/>
        <v>257159</v>
      </c>
    </row>
    <row r="18" spans="1:8" x14ac:dyDescent="0.2">
      <c r="A18" s="131">
        <v>9</v>
      </c>
      <c r="B18" s="131" t="s">
        <v>139</v>
      </c>
      <c r="C18" s="133">
        <v>0</v>
      </c>
      <c r="D18" s="133">
        <v>8153</v>
      </c>
      <c r="E18" s="133">
        <v>0</v>
      </c>
      <c r="F18" s="133">
        <v>6490</v>
      </c>
      <c r="G18" s="134">
        <f t="shared" si="0"/>
        <v>14643</v>
      </c>
      <c r="H18" s="134">
        <f t="shared" si="1"/>
        <v>271802</v>
      </c>
    </row>
    <row r="19" spans="1:8" x14ac:dyDescent="0.2">
      <c r="A19" s="131">
        <v>10</v>
      </c>
      <c r="B19" s="131" t="s">
        <v>140</v>
      </c>
      <c r="C19" s="133">
        <v>0</v>
      </c>
      <c r="D19" s="133">
        <v>3599</v>
      </c>
      <c r="E19" s="133">
        <v>0</v>
      </c>
      <c r="F19" s="133">
        <v>0</v>
      </c>
      <c r="G19" s="134">
        <f t="shared" si="0"/>
        <v>3599</v>
      </c>
      <c r="H19" s="134">
        <f t="shared" si="1"/>
        <v>275401</v>
      </c>
    </row>
    <row r="20" spans="1:8" x14ac:dyDescent="0.2">
      <c r="A20" s="131">
        <v>11</v>
      </c>
      <c r="B20" s="131" t="s">
        <v>141</v>
      </c>
      <c r="C20" s="133">
        <v>0</v>
      </c>
      <c r="D20" s="133">
        <v>0</v>
      </c>
      <c r="E20" s="133">
        <v>0</v>
      </c>
      <c r="F20" s="133">
        <v>0</v>
      </c>
      <c r="G20" s="134">
        <f t="shared" si="0"/>
        <v>0</v>
      </c>
      <c r="H20" s="134">
        <f t="shared" si="1"/>
        <v>275401</v>
      </c>
    </row>
    <row r="21" spans="1:8" x14ac:dyDescent="0.2">
      <c r="A21" s="131">
        <v>12</v>
      </c>
      <c r="B21" s="131" t="s">
        <v>143</v>
      </c>
      <c r="C21" s="133">
        <v>0</v>
      </c>
      <c r="D21" s="133">
        <v>0</v>
      </c>
      <c r="E21" s="133">
        <v>0</v>
      </c>
      <c r="F21" s="133">
        <v>0</v>
      </c>
      <c r="G21" s="134">
        <f t="shared" si="0"/>
        <v>0</v>
      </c>
      <c r="H21" s="134">
        <f t="shared" si="1"/>
        <v>275401</v>
      </c>
    </row>
    <row r="22" spans="1:8" x14ac:dyDescent="0.2">
      <c r="A22" s="131">
        <v>13</v>
      </c>
      <c r="B22" s="131" t="s">
        <v>146</v>
      </c>
      <c r="C22" s="133">
        <v>0</v>
      </c>
      <c r="D22" s="133">
        <v>0</v>
      </c>
      <c r="E22" s="133">
        <v>0</v>
      </c>
      <c r="F22" s="133">
        <v>0</v>
      </c>
      <c r="G22" s="134">
        <f t="shared" si="0"/>
        <v>0</v>
      </c>
      <c r="H22" s="134">
        <f t="shared" si="1"/>
        <v>275401</v>
      </c>
    </row>
    <row r="23" spans="1:8" x14ac:dyDescent="0.2">
      <c r="A23" s="131">
        <v>14</v>
      </c>
      <c r="B23" s="131" t="s">
        <v>150</v>
      </c>
      <c r="C23" s="133">
        <v>0</v>
      </c>
      <c r="D23" s="133">
        <v>0</v>
      </c>
      <c r="E23" s="133">
        <v>0</v>
      </c>
      <c r="F23" s="133">
        <v>0</v>
      </c>
      <c r="G23" s="134">
        <f t="shared" si="0"/>
        <v>0</v>
      </c>
      <c r="H23" s="134">
        <f t="shared" si="1"/>
        <v>275401</v>
      </c>
    </row>
    <row r="24" spans="1:8" x14ac:dyDescent="0.2">
      <c r="A24" s="131">
        <v>15</v>
      </c>
      <c r="B24" s="131" t="s">
        <v>151</v>
      </c>
      <c r="C24" s="133">
        <v>22821</v>
      </c>
      <c r="D24" s="133">
        <v>16985</v>
      </c>
      <c r="E24" s="133">
        <v>0</v>
      </c>
      <c r="F24" s="133">
        <v>0</v>
      </c>
      <c r="G24" s="134">
        <f t="shared" si="0"/>
        <v>39806</v>
      </c>
      <c r="H24" s="134">
        <f t="shared" si="1"/>
        <v>315207</v>
      </c>
    </row>
    <row r="25" spans="1:8" x14ac:dyDescent="0.2">
      <c r="A25" s="131">
        <v>16</v>
      </c>
      <c r="B25" s="131" t="s">
        <v>157</v>
      </c>
      <c r="C25" s="133">
        <v>18060</v>
      </c>
      <c r="D25" s="133">
        <v>14850</v>
      </c>
      <c r="E25" s="133">
        <v>0</v>
      </c>
      <c r="F25" s="133">
        <v>14821</v>
      </c>
      <c r="G25" s="134">
        <f t="shared" si="0"/>
        <v>47731</v>
      </c>
      <c r="H25" s="134">
        <f t="shared" si="1"/>
        <v>362938</v>
      </c>
    </row>
    <row r="26" spans="1:8" x14ac:dyDescent="0.2">
      <c r="A26" s="131">
        <v>17</v>
      </c>
      <c r="B26" s="131" t="s">
        <v>158</v>
      </c>
      <c r="C26" s="133">
        <v>60484</v>
      </c>
      <c r="D26" s="133">
        <v>34868</v>
      </c>
      <c r="E26" s="133">
        <v>0</v>
      </c>
      <c r="F26" s="133">
        <v>0</v>
      </c>
      <c r="G26" s="134">
        <f t="shared" si="0"/>
        <v>95352</v>
      </c>
      <c r="H26" s="134">
        <f t="shared" si="1"/>
        <v>458290</v>
      </c>
    </row>
    <row r="27" spans="1:8" x14ac:dyDescent="0.2">
      <c r="A27" s="131">
        <v>18</v>
      </c>
      <c r="B27" s="131" t="s">
        <v>159</v>
      </c>
      <c r="C27" s="133">
        <v>18892</v>
      </c>
      <c r="D27" s="133">
        <v>22736</v>
      </c>
      <c r="E27" s="133">
        <v>0</v>
      </c>
      <c r="F27" s="133">
        <v>15057</v>
      </c>
      <c r="G27" s="134">
        <f t="shared" si="0"/>
        <v>56685</v>
      </c>
      <c r="H27" s="134">
        <f t="shared" si="1"/>
        <v>514975</v>
      </c>
    </row>
    <row r="28" spans="1:8" x14ac:dyDescent="0.2">
      <c r="A28" s="131">
        <v>19</v>
      </c>
      <c r="B28" s="131" t="s">
        <v>170</v>
      </c>
      <c r="C28" s="133">
        <v>40656</v>
      </c>
      <c r="D28" s="133">
        <v>0</v>
      </c>
      <c r="E28" s="133">
        <v>0</v>
      </c>
      <c r="F28" s="133">
        <v>27402</v>
      </c>
      <c r="G28" s="134">
        <f t="shared" si="0"/>
        <v>68058</v>
      </c>
      <c r="H28" s="134">
        <f t="shared" si="1"/>
        <v>583033</v>
      </c>
    </row>
    <row r="29" spans="1:8" x14ac:dyDescent="0.2">
      <c r="A29" s="131">
        <v>20</v>
      </c>
      <c r="B29" s="131" t="s">
        <v>171</v>
      </c>
      <c r="C29" s="133">
        <v>13362</v>
      </c>
      <c r="D29" s="133">
        <v>46141</v>
      </c>
      <c r="E29" s="133">
        <v>0</v>
      </c>
      <c r="F29" s="133">
        <v>0</v>
      </c>
      <c r="G29" s="134">
        <f t="shared" si="0"/>
        <v>59503</v>
      </c>
      <c r="H29" s="134">
        <f t="shared" si="1"/>
        <v>642536</v>
      </c>
    </row>
    <row r="30" spans="1:8" x14ac:dyDescent="0.2">
      <c r="A30" s="131">
        <v>21</v>
      </c>
      <c r="B30" s="131" t="s">
        <v>172</v>
      </c>
      <c r="C30" s="133">
        <v>0</v>
      </c>
      <c r="D30" s="133">
        <v>60114</v>
      </c>
      <c r="E30" s="133">
        <v>0</v>
      </c>
      <c r="F30" s="133">
        <v>0</v>
      </c>
      <c r="G30" s="134">
        <f t="shared" si="0"/>
        <v>60114</v>
      </c>
      <c r="H30" s="134">
        <f t="shared" si="1"/>
        <v>702650</v>
      </c>
    </row>
    <row r="31" spans="1:8" x14ac:dyDescent="0.2">
      <c r="A31" s="131">
        <v>22</v>
      </c>
      <c r="B31" s="131" t="s">
        <v>173</v>
      </c>
      <c r="C31" s="133">
        <v>2706</v>
      </c>
      <c r="D31" s="133">
        <v>11845</v>
      </c>
      <c r="E31" s="133">
        <v>11031</v>
      </c>
      <c r="F31" s="133">
        <v>0</v>
      </c>
      <c r="G31" s="134">
        <f t="shared" si="0"/>
        <v>25582</v>
      </c>
      <c r="H31" s="134">
        <f t="shared" si="1"/>
        <v>728232</v>
      </c>
    </row>
    <row r="32" spans="1:8" x14ac:dyDescent="0.2">
      <c r="A32" s="131">
        <v>23</v>
      </c>
      <c r="B32" s="131" t="s">
        <v>174</v>
      </c>
      <c r="C32" s="133">
        <v>20852</v>
      </c>
      <c r="D32" s="133">
        <v>0</v>
      </c>
      <c r="E32" s="133">
        <v>0</v>
      </c>
      <c r="F32" s="133">
        <v>2260</v>
      </c>
      <c r="G32" s="134">
        <f t="shared" si="0"/>
        <v>23112</v>
      </c>
      <c r="H32" s="134">
        <f t="shared" si="1"/>
        <v>751344</v>
      </c>
    </row>
    <row r="33" spans="1:8" x14ac:dyDescent="0.2">
      <c r="A33" s="131">
        <v>24</v>
      </c>
      <c r="B33" s="131" t="s">
        <v>175</v>
      </c>
      <c r="C33" s="133">
        <v>30974</v>
      </c>
      <c r="D33" s="133">
        <v>10657</v>
      </c>
      <c r="E33" s="133">
        <v>0</v>
      </c>
      <c r="F33" s="133">
        <v>1505</v>
      </c>
      <c r="G33" s="134">
        <f t="shared" si="0"/>
        <v>43136</v>
      </c>
      <c r="H33" s="134">
        <f t="shared" si="1"/>
        <v>794480</v>
      </c>
    </row>
    <row r="34" spans="1:8" x14ac:dyDescent="0.2">
      <c r="A34" s="131">
        <v>25</v>
      </c>
      <c r="B34" s="131" t="s">
        <v>176</v>
      </c>
      <c r="C34" s="133">
        <v>13435</v>
      </c>
      <c r="D34" s="133">
        <v>43304</v>
      </c>
      <c r="E34" s="133">
        <v>0</v>
      </c>
      <c r="F34" s="133">
        <v>0</v>
      </c>
      <c r="G34" s="134">
        <f t="shared" si="0"/>
        <v>56739</v>
      </c>
      <c r="H34" s="134">
        <f t="shared" si="1"/>
        <v>851219</v>
      </c>
    </row>
    <row r="35" spans="1:8" x14ac:dyDescent="0.2">
      <c r="A35" s="131">
        <v>26</v>
      </c>
      <c r="B35" s="131" t="s">
        <v>178</v>
      </c>
      <c r="C35" s="133">
        <v>18381</v>
      </c>
      <c r="D35" s="133">
        <v>27913</v>
      </c>
      <c r="E35" s="133">
        <v>0</v>
      </c>
      <c r="F35" s="133">
        <v>29300</v>
      </c>
      <c r="G35" s="134">
        <f t="shared" si="0"/>
        <v>75594</v>
      </c>
      <c r="H35" s="134">
        <f t="shared" si="1"/>
        <v>926813</v>
      </c>
    </row>
    <row r="36" spans="1:8" x14ac:dyDescent="0.2">
      <c r="A36" s="131">
        <v>27</v>
      </c>
      <c r="B36" s="131" t="s">
        <v>179</v>
      </c>
      <c r="C36" s="133">
        <v>0</v>
      </c>
      <c r="D36" s="133">
        <v>12570</v>
      </c>
      <c r="E36" s="133">
        <v>0</v>
      </c>
      <c r="F36" s="133">
        <v>0</v>
      </c>
      <c r="G36" s="134">
        <f t="shared" si="0"/>
        <v>12570</v>
      </c>
      <c r="H36" s="134">
        <f t="shared" si="1"/>
        <v>939383</v>
      </c>
    </row>
    <row r="37" spans="1:8" x14ac:dyDescent="0.2">
      <c r="A37" s="131">
        <v>28</v>
      </c>
      <c r="B37" s="131" t="s">
        <v>180</v>
      </c>
      <c r="C37" s="133">
        <v>0</v>
      </c>
      <c r="D37" s="133">
        <v>0</v>
      </c>
      <c r="E37" s="133">
        <v>0</v>
      </c>
      <c r="F37" s="133">
        <v>0</v>
      </c>
      <c r="G37" s="134">
        <f t="shared" si="0"/>
        <v>0</v>
      </c>
      <c r="H37" s="134">
        <f t="shared" si="1"/>
        <v>939383</v>
      </c>
    </row>
    <row r="38" spans="1:8" x14ac:dyDescent="0.2">
      <c r="A38" s="131">
        <v>29</v>
      </c>
      <c r="B38" s="131" t="s">
        <v>181</v>
      </c>
      <c r="C38" s="133">
        <v>15222</v>
      </c>
      <c r="D38" s="133">
        <v>11597</v>
      </c>
      <c r="E38" s="133">
        <v>0</v>
      </c>
      <c r="F38" s="133">
        <v>0</v>
      </c>
      <c r="G38" s="134">
        <f t="shared" si="0"/>
        <v>26819</v>
      </c>
      <c r="H38" s="134">
        <f t="shared" si="1"/>
        <v>966202</v>
      </c>
    </row>
    <row r="39" spans="1:8" x14ac:dyDescent="0.2">
      <c r="A39" s="131">
        <v>30</v>
      </c>
      <c r="B39" s="131" t="s">
        <v>183</v>
      </c>
      <c r="C39" s="133">
        <v>22149</v>
      </c>
      <c r="D39" s="133">
        <v>0</v>
      </c>
      <c r="E39" s="133">
        <v>0</v>
      </c>
      <c r="F39" s="133">
        <v>0</v>
      </c>
      <c r="G39" s="134">
        <f t="shared" si="0"/>
        <v>22149</v>
      </c>
      <c r="H39" s="134">
        <f t="shared" si="1"/>
        <v>988351</v>
      </c>
    </row>
    <row r="40" spans="1:8" x14ac:dyDescent="0.2">
      <c r="A40" s="131">
        <v>31</v>
      </c>
      <c r="B40" s="131" t="s">
        <v>185</v>
      </c>
      <c r="C40" s="133">
        <v>32938</v>
      </c>
      <c r="D40" s="133">
        <v>18638</v>
      </c>
      <c r="E40" s="133">
        <v>0</v>
      </c>
      <c r="F40" s="133">
        <v>0</v>
      </c>
      <c r="G40" s="134">
        <f t="shared" si="0"/>
        <v>51576</v>
      </c>
      <c r="H40" s="134">
        <f t="shared" si="1"/>
        <v>1039927</v>
      </c>
    </row>
    <row r="41" spans="1:8" x14ac:dyDescent="0.2">
      <c r="A41" s="131">
        <v>32</v>
      </c>
      <c r="B41" s="131" t="s">
        <v>186</v>
      </c>
      <c r="C41" s="133">
        <v>0</v>
      </c>
      <c r="D41" s="133">
        <v>0</v>
      </c>
      <c r="E41" s="133">
        <v>0</v>
      </c>
      <c r="F41" s="133">
        <v>0</v>
      </c>
      <c r="G41" s="134">
        <f t="shared" si="0"/>
        <v>0</v>
      </c>
      <c r="H41" s="134">
        <f t="shared" si="1"/>
        <v>1039927</v>
      </c>
    </row>
    <row r="42" spans="1:8" x14ac:dyDescent="0.2">
      <c r="A42" s="131">
        <v>33</v>
      </c>
      <c r="B42" s="131" t="s">
        <v>187</v>
      </c>
      <c r="C42" s="133">
        <v>0</v>
      </c>
      <c r="D42" s="133">
        <v>0</v>
      </c>
      <c r="E42" s="133">
        <v>0</v>
      </c>
      <c r="F42" s="133">
        <v>0</v>
      </c>
      <c r="G42" s="134">
        <f t="shared" si="0"/>
        <v>0</v>
      </c>
      <c r="H42" s="134">
        <f t="shared" si="1"/>
        <v>1039927</v>
      </c>
    </row>
    <row r="43" spans="1:8" x14ac:dyDescent="0.2">
      <c r="A43" s="131">
        <v>34</v>
      </c>
      <c r="B43" s="131" t="s">
        <v>188</v>
      </c>
      <c r="C43" s="133">
        <v>0</v>
      </c>
      <c r="D43" s="133">
        <v>0</v>
      </c>
      <c r="E43" s="133">
        <v>0</v>
      </c>
      <c r="F43" s="133">
        <v>0</v>
      </c>
      <c r="G43" s="134">
        <f t="shared" si="0"/>
        <v>0</v>
      </c>
      <c r="H43" s="134">
        <f t="shared" si="1"/>
        <v>1039927</v>
      </c>
    </row>
    <row r="44" spans="1:8" x14ac:dyDescent="0.2">
      <c r="A44" s="131">
        <v>35</v>
      </c>
      <c r="B44" s="131" t="s">
        <v>189</v>
      </c>
      <c r="C44" s="133">
        <v>42072</v>
      </c>
      <c r="D44" s="133">
        <v>32352</v>
      </c>
      <c r="E44" s="133">
        <v>0</v>
      </c>
      <c r="F44" s="133">
        <v>8552</v>
      </c>
      <c r="G44" s="134">
        <f t="shared" si="0"/>
        <v>82976</v>
      </c>
      <c r="H44" s="134">
        <f t="shared" si="1"/>
        <v>1122903</v>
      </c>
    </row>
    <row r="45" spans="1:8" x14ac:dyDescent="0.2">
      <c r="A45" s="131">
        <v>36</v>
      </c>
      <c r="B45" s="131" t="s">
        <v>191</v>
      </c>
      <c r="C45" s="133">
        <v>0</v>
      </c>
      <c r="D45" s="133">
        <v>0</v>
      </c>
      <c r="E45" s="133">
        <v>0</v>
      </c>
      <c r="F45" s="133">
        <v>28901</v>
      </c>
      <c r="G45" s="134">
        <f t="shared" si="0"/>
        <v>28901</v>
      </c>
      <c r="H45" s="134">
        <f t="shared" si="1"/>
        <v>1151804</v>
      </c>
    </row>
    <row r="46" spans="1:8" x14ac:dyDescent="0.2">
      <c r="A46" s="131">
        <v>37</v>
      </c>
      <c r="B46" s="131" t="s">
        <v>192</v>
      </c>
      <c r="C46" s="133">
        <v>0</v>
      </c>
      <c r="D46" s="133">
        <v>0</v>
      </c>
      <c r="E46" s="133">
        <v>0</v>
      </c>
      <c r="F46" s="133">
        <v>2759</v>
      </c>
      <c r="G46" s="134">
        <f t="shared" si="0"/>
        <v>2759</v>
      </c>
      <c r="H46" s="134">
        <f t="shared" si="1"/>
        <v>1154563</v>
      </c>
    </row>
    <row r="47" spans="1:8" x14ac:dyDescent="0.2">
      <c r="A47" s="131">
        <v>38</v>
      </c>
      <c r="B47" s="131" t="s">
        <v>193</v>
      </c>
      <c r="C47" s="133">
        <v>21858</v>
      </c>
      <c r="D47" s="133">
        <v>0</v>
      </c>
      <c r="E47" s="133">
        <v>0</v>
      </c>
      <c r="F47" s="133">
        <v>0</v>
      </c>
      <c r="G47" s="134">
        <f t="shared" si="0"/>
        <v>21858</v>
      </c>
      <c r="H47" s="134">
        <f t="shared" si="1"/>
        <v>1176421</v>
      </c>
    </row>
    <row r="48" spans="1:8" x14ac:dyDescent="0.2">
      <c r="A48" s="131">
        <v>39</v>
      </c>
      <c r="B48" s="131" t="s">
        <v>195</v>
      </c>
      <c r="C48" s="133">
        <v>11131</v>
      </c>
      <c r="D48" s="133">
        <v>19319</v>
      </c>
      <c r="E48" s="133">
        <v>0</v>
      </c>
      <c r="F48" s="133">
        <v>0</v>
      </c>
      <c r="G48" s="134">
        <f t="shared" si="0"/>
        <v>30450</v>
      </c>
      <c r="H48" s="134">
        <f t="shared" si="1"/>
        <v>1206871</v>
      </c>
    </row>
    <row r="49" spans="1:8" x14ac:dyDescent="0.2">
      <c r="A49" s="131">
        <v>40</v>
      </c>
      <c r="B49" s="131" t="s">
        <v>198</v>
      </c>
      <c r="C49" s="133">
        <v>33351</v>
      </c>
      <c r="D49" s="133">
        <v>35395</v>
      </c>
      <c r="E49" s="133">
        <v>0</v>
      </c>
      <c r="F49" s="133">
        <v>0</v>
      </c>
      <c r="G49" s="134">
        <f t="shared" si="0"/>
        <v>68746</v>
      </c>
      <c r="H49" s="134">
        <f t="shared" si="1"/>
        <v>1275617</v>
      </c>
    </row>
    <row r="50" spans="1:8" x14ac:dyDescent="0.2">
      <c r="A50" s="131">
        <v>41</v>
      </c>
      <c r="B50" s="131" t="s">
        <v>201</v>
      </c>
      <c r="C50" s="133">
        <v>0</v>
      </c>
      <c r="D50" s="133">
        <v>11335</v>
      </c>
      <c r="E50" s="133">
        <v>0</v>
      </c>
      <c r="F50" s="133">
        <v>0</v>
      </c>
      <c r="G50" s="134">
        <f t="shared" si="0"/>
        <v>11335</v>
      </c>
      <c r="H50" s="134">
        <f t="shared" si="1"/>
        <v>1286952</v>
      </c>
    </row>
    <row r="51" spans="1:8" x14ac:dyDescent="0.2">
      <c r="A51" s="131">
        <v>42</v>
      </c>
      <c r="B51" s="131" t="s">
        <v>202</v>
      </c>
      <c r="C51" s="133">
        <v>10904</v>
      </c>
      <c r="D51" s="133">
        <v>1289</v>
      </c>
      <c r="E51" s="133">
        <v>0</v>
      </c>
      <c r="F51" s="133">
        <v>0</v>
      </c>
      <c r="G51" s="134">
        <f t="shared" si="0"/>
        <v>12193</v>
      </c>
      <c r="H51" s="134">
        <f t="shared" si="1"/>
        <v>1299145</v>
      </c>
    </row>
    <row r="52" spans="1:8" x14ac:dyDescent="0.2">
      <c r="A52" s="131">
        <v>43</v>
      </c>
      <c r="B52" s="131" t="s">
        <v>204</v>
      </c>
      <c r="C52" s="133">
        <v>4004</v>
      </c>
      <c r="D52" s="133">
        <v>0</v>
      </c>
      <c r="E52" s="133">
        <v>0</v>
      </c>
      <c r="F52" s="133">
        <v>13619</v>
      </c>
      <c r="G52" s="134">
        <f t="shared" si="0"/>
        <v>17623</v>
      </c>
      <c r="H52" s="134">
        <f t="shared" si="1"/>
        <v>1316768</v>
      </c>
    </row>
    <row r="53" spans="1:8" x14ac:dyDescent="0.2">
      <c r="A53" s="131">
        <v>44</v>
      </c>
      <c r="B53" s="131" t="s">
        <v>206</v>
      </c>
      <c r="C53" s="133">
        <v>18143</v>
      </c>
      <c r="D53" s="133">
        <v>35337</v>
      </c>
      <c r="E53" s="133">
        <v>0</v>
      </c>
      <c r="F53" s="133">
        <v>18398</v>
      </c>
      <c r="G53" s="134">
        <f t="shared" si="0"/>
        <v>71878</v>
      </c>
      <c r="H53" s="134">
        <f t="shared" si="1"/>
        <v>1388646</v>
      </c>
    </row>
    <row r="54" spans="1:8" x14ac:dyDescent="0.2">
      <c r="A54" s="131">
        <v>45</v>
      </c>
      <c r="B54" s="131" t="s">
        <v>207</v>
      </c>
      <c r="C54" s="133">
        <v>67828</v>
      </c>
      <c r="D54" s="133">
        <v>49449</v>
      </c>
      <c r="E54" s="133">
        <v>0</v>
      </c>
      <c r="F54" s="133">
        <v>0</v>
      </c>
      <c r="G54" s="134">
        <f t="shared" si="0"/>
        <v>117277</v>
      </c>
      <c r="H54" s="134">
        <f t="shared" si="1"/>
        <v>1505923</v>
      </c>
    </row>
    <row r="55" spans="1:8" x14ac:dyDescent="0.2">
      <c r="A55" s="131">
        <v>46</v>
      </c>
      <c r="B55" s="131" t="s">
        <v>208</v>
      </c>
      <c r="C55" s="133">
        <v>30877</v>
      </c>
      <c r="D55" s="133">
        <v>37467</v>
      </c>
      <c r="E55" s="133">
        <v>0</v>
      </c>
      <c r="F55" s="133">
        <v>0</v>
      </c>
      <c r="G55" s="134">
        <f t="shared" si="0"/>
        <v>68344</v>
      </c>
      <c r="H55" s="134">
        <f t="shared" si="1"/>
        <v>1574267</v>
      </c>
    </row>
    <row r="56" spans="1:8" x14ac:dyDescent="0.2">
      <c r="A56" s="131">
        <v>47</v>
      </c>
      <c r="B56" s="131" t="s">
        <v>209</v>
      </c>
      <c r="C56" s="133">
        <v>1430</v>
      </c>
      <c r="D56" s="133">
        <v>0</v>
      </c>
      <c r="E56" s="133">
        <v>0</v>
      </c>
      <c r="F56" s="133">
        <v>0</v>
      </c>
      <c r="G56" s="134">
        <f t="shared" si="0"/>
        <v>1430</v>
      </c>
      <c r="H56" s="134">
        <f t="shared" si="1"/>
        <v>1575697</v>
      </c>
    </row>
    <row r="57" spans="1:8" x14ac:dyDescent="0.2">
      <c r="A57" s="131">
        <v>48</v>
      </c>
      <c r="B57" s="131" t="s">
        <v>211</v>
      </c>
      <c r="C57" s="133">
        <v>0</v>
      </c>
      <c r="D57" s="133">
        <v>0</v>
      </c>
      <c r="E57" s="133">
        <v>0</v>
      </c>
      <c r="F57" s="133">
        <v>28507</v>
      </c>
      <c r="G57" s="134">
        <f t="shared" si="0"/>
        <v>28507</v>
      </c>
      <c r="H57" s="134">
        <f t="shared" si="1"/>
        <v>1604204</v>
      </c>
    </row>
    <row r="58" spans="1:8" x14ac:dyDescent="0.2">
      <c r="A58" s="131">
        <v>49</v>
      </c>
      <c r="B58" s="131" t="s">
        <v>213</v>
      </c>
      <c r="C58" s="133">
        <v>0</v>
      </c>
      <c r="D58" s="133">
        <v>0</v>
      </c>
      <c r="E58" s="133">
        <v>0</v>
      </c>
      <c r="F58" s="133">
        <v>0</v>
      </c>
      <c r="G58" s="134">
        <f t="shared" si="0"/>
        <v>0</v>
      </c>
      <c r="H58" s="134">
        <f t="shared" si="1"/>
        <v>1604204</v>
      </c>
    </row>
    <row r="59" spans="1:8" x14ac:dyDescent="0.2">
      <c r="A59" s="131">
        <v>50</v>
      </c>
      <c r="B59" s="131" t="s">
        <v>214</v>
      </c>
      <c r="C59" s="133">
        <v>0</v>
      </c>
      <c r="D59" s="133">
        <v>0</v>
      </c>
      <c r="E59" s="133">
        <v>0</v>
      </c>
      <c r="F59" s="133">
        <v>0</v>
      </c>
      <c r="G59" s="134">
        <f t="shared" si="0"/>
        <v>0</v>
      </c>
      <c r="H59" s="134">
        <f t="shared" si="1"/>
        <v>1604204</v>
      </c>
    </row>
    <row r="60" spans="1:8" x14ac:dyDescent="0.2">
      <c r="A60" s="131">
        <v>51</v>
      </c>
      <c r="B60" s="131" t="s">
        <v>217</v>
      </c>
      <c r="C60" s="133">
        <v>0</v>
      </c>
      <c r="D60" s="133">
        <v>0</v>
      </c>
      <c r="E60" s="133">
        <v>0</v>
      </c>
      <c r="F60" s="133">
        <v>0</v>
      </c>
      <c r="G60" s="134">
        <f t="shared" si="0"/>
        <v>0</v>
      </c>
      <c r="H60" s="134">
        <f t="shared" si="1"/>
        <v>1604204</v>
      </c>
    </row>
    <row r="61" spans="1:8" x14ac:dyDescent="0.2">
      <c r="A61" s="131">
        <v>52</v>
      </c>
      <c r="B61" s="131" t="s">
        <v>218</v>
      </c>
      <c r="C61" s="133">
        <v>0</v>
      </c>
      <c r="D61" s="133">
        <v>0</v>
      </c>
      <c r="E61" s="133">
        <v>0</v>
      </c>
      <c r="F61" s="133">
        <v>0</v>
      </c>
      <c r="G61" s="134">
        <f t="shared" si="0"/>
        <v>0</v>
      </c>
      <c r="H61" s="134">
        <f t="shared" si="1"/>
        <v>1604204</v>
      </c>
    </row>
    <row r="62" spans="1:8" x14ac:dyDescent="0.2">
      <c r="A62" s="131" t="s">
        <v>116</v>
      </c>
      <c r="B62" s="131" t="s">
        <v>117</v>
      </c>
      <c r="C62" s="134">
        <f>SUM(C10:C61)</f>
        <v>726150</v>
      </c>
      <c r="D62" s="134">
        <f>SUM(D10:D61)</f>
        <v>638110</v>
      </c>
      <c r="E62" s="134">
        <f>SUM(E10:E61)</f>
        <v>11031</v>
      </c>
      <c r="F62" s="134">
        <f>SUM(F10:F61)</f>
        <v>228913</v>
      </c>
      <c r="G62" s="134">
        <f>SUM(G10:G61)</f>
        <v>1604204</v>
      </c>
      <c r="H62" s="134"/>
    </row>
    <row r="64" spans="1:8" ht="15" x14ac:dyDescent="0.25">
      <c r="A64" s="129" t="s">
        <v>221</v>
      </c>
      <c r="B64" s="129"/>
    </row>
    <row r="65" spans="1:2" ht="15" x14ac:dyDescent="0.25">
      <c r="A65" s="129" t="s">
        <v>222</v>
      </c>
      <c r="B65" s="129"/>
    </row>
  </sheetData>
  <mergeCells count="3">
    <mergeCell ref="A6:H6"/>
    <mergeCell ref="A7:H7"/>
    <mergeCell ref="A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9"/>
  <sheetViews>
    <sheetView zoomScale="75" workbookViewId="0">
      <selection activeCell="B5" sqref="B5"/>
    </sheetView>
  </sheetViews>
  <sheetFormatPr defaultColWidth="9.140625" defaultRowHeight="15" x14ac:dyDescent="0.2"/>
  <cols>
    <col min="1" max="1" width="33.7109375" style="69" customWidth="1"/>
    <col min="2" max="2" width="14.85546875" style="69" customWidth="1"/>
    <col min="3" max="3" width="9.140625" style="69"/>
    <col min="4" max="4" width="24.140625" style="69" customWidth="1"/>
    <col min="5" max="5" width="13.85546875" style="69" customWidth="1"/>
    <col min="6" max="6" width="10.28515625" style="69" bestFit="1" customWidth="1"/>
    <col min="7" max="16384" width="9.140625" style="69"/>
  </cols>
  <sheetData>
    <row r="1" spans="1:22" ht="15.75" x14ac:dyDescent="0.25">
      <c r="A1" s="68" t="s">
        <v>155</v>
      </c>
      <c r="V1" s="69">
        <v>4</v>
      </c>
    </row>
    <row r="2" spans="1:22" ht="15.75" x14ac:dyDescent="0.25">
      <c r="A2" s="68" t="s">
        <v>0</v>
      </c>
    </row>
    <row r="4" spans="1:22" x14ac:dyDescent="0.2">
      <c r="A4" s="123" t="s">
        <v>267</v>
      </c>
      <c r="B4" s="99">
        <f>'Weekliks-Weekly'!B60</f>
        <v>45408</v>
      </c>
    </row>
    <row r="5" spans="1:22" x14ac:dyDescent="0.2">
      <c r="A5" s="123" t="s">
        <v>259</v>
      </c>
      <c r="B5" s="70">
        <f>B4</f>
        <v>45408</v>
      </c>
    </row>
    <row r="6" spans="1:22" ht="15.75" x14ac:dyDescent="0.25">
      <c r="D6" s="68"/>
    </row>
    <row r="7" spans="1:22" ht="15.75" x14ac:dyDescent="0.25">
      <c r="A7" s="68" t="s">
        <v>1</v>
      </c>
      <c r="B7" s="68" t="s">
        <v>2</v>
      </c>
      <c r="E7" s="71"/>
    </row>
    <row r="8" spans="1:22" ht="15.75" x14ac:dyDescent="0.25">
      <c r="A8" s="75" t="s">
        <v>70</v>
      </c>
      <c r="B8" s="96">
        <v>0</v>
      </c>
      <c r="D8" s="73" t="s">
        <v>63</v>
      </c>
      <c r="E8" s="74">
        <f>B13/(52-'Export destin -Uitvoer bestem.'!$G$6)</f>
        <v>0</v>
      </c>
      <c r="F8" s="72"/>
    </row>
    <row r="9" spans="1:22" ht="15.75" x14ac:dyDescent="0.25">
      <c r="A9" s="75" t="s">
        <v>71</v>
      </c>
      <c r="B9" s="96">
        <f>0</f>
        <v>0</v>
      </c>
      <c r="D9" s="75" t="s">
        <v>64</v>
      </c>
      <c r="E9" s="76">
        <f>'Export destin -Uitvoer bestem.'!$G$6</f>
        <v>9</v>
      </c>
      <c r="F9" s="72"/>
    </row>
    <row r="10" spans="1:22" ht="15.75" x14ac:dyDescent="0.25">
      <c r="A10" s="75" t="s">
        <v>4</v>
      </c>
      <c r="B10" s="96">
        <f>0</f>
        <v>0</v>
      </c>
      <c r="D10" s="75" t="s">
        <v>65</v>
      </c>
      <c r="E10" s="76">
        <f>(E8*E9)+B13</f>
        <v>0</v>
      </c>
      <c r="F10" s="72"/>
    </row>
    <row r="11" spans="1:22" ht="15.75" x14ac:dyDescent="0.25">
      <c r="A11" s="75" t="s">
        <v>113</v>
      </c>
      <c r="B11" s="96">
        <f>0</f>
        <v>0</v>
      </c>
      <c r="E11" s="72"/>
      <c r="F11" s="72"/>
    </row>
    <row r="12" spans="1:22" ht="15.75" x14ac:dyDescent="0.25">
      <c r="A12" s="75" t="s">
        <v>122</v>
      </c>
      <c r="B12" s="96">
        <f>0</f>
        <v>0</v>
      </c>
      <c r="E12" s="72"/>
      <c r="F12" s="72"/>
    </row>
    <row r="13" spans="1:22" ht="15.75" x14ac:dyDescent="0.25">
      <c r="A13" s="73" t="s">
        <v>5</v>
      </c>
      <c r="B13" s="81">
        <f>SUM(B8:B12)</f>
        <v>0</v>
      </c>
      <c r="F13" s="72"/>
    </row>
    <row r="14" spans="1:22" x14ac:dyDescent="0.2">
      <c r="B14" s="71"/>
      <c r="F14" s="72"/>
    </row>
    <row r="15" spans="1:22" ht="15.75" x14ac:dyDescent="0.25">
      <c r="A15" s="68" t="s">
        <v>6</v>
      </c>
      <c r="B15" s="69" t="s">
        <v>2</v>
      </c>
      <c r="F15" s="72"/>
    </row>
    <row r="16" spans="1:22" ht="15.75" x14ac:dyDescent="0.25">
      <c r="A16" s="75" t="s">
        <v>7</v>
      </c>
      <c r="B16" s="96">
        <v>0</v>
      </c>
      <c r="D16" s="73" t="s">
        <v>63</v>
      </c>
      <c r="E16" s="74">
        <f>B23/(52-'Export destin -Uitvoer bestem.'!$G$6)</f>
        <v>0</v>
      </c>
      <c r="F16" s="72"/>
    </row>
    <row r="17" spans="1:12" ht="15.75" x14ac:dyDescent="0.25">
      <c r="A17" s="75" t="s">
        <v>79</v>
      </c>
      <c r="B17" s="96">
        <v>0</v>
      </c>
      <c r="D17" s="75" t="s">
        <v>64</v>
      </c>
      <c r="E17" s="76">
        <f>'Export destin -Uitvoer bestem.'!$G$6</f>
        <v>9</v>
      </c>
      <c r="F17" s="72"/>
    </row>
    <row r="18" spans="1:12" ht="15.75" x14ac:dyDescent="0.25">
      <c r="A18" s="75" t="s">
        <v>93</v>
      </c>
      <c r="B18" s="96">
        <f>0</f>
        <v>0</v>
      </c>
      <c r="D18" s="75" t="s">
        <v>65</v>
      </c>
      <c r="E18" s="76">
        <f>(E16*E17)+B23</f>
        <v>0</v>
      </c>
      <c r="F18" s="72"/>
      <c r="L18" s="130"/>
    </row>
    <row r="19" spans="1:12" ht="15.75" x14ac:dyDescent="0.25">
      <c r="A19" s="75" t="s">
        <v>120</v>
      </c>
      <c r="B19" s="96">
        <f>0</f>
        <v>0</v>
      </c>
      <c r="E19" s="72"/>
      <c r="F19" s="72"/>
      <c r="L19" s="130"/>
    </row>
    <row r="20" spans="1:12" ht="15.75" x14ac:dyDescent="0.25">
      <c r="A20" s="75" t="s">
        <v>3</v>
      </c>
      <c r="B20" s="96">
        <f>0</f>
        <v>0</v>
      </c>
      <c r="E20" s="72"/>
      <c r="F20" s="72"/>
      <c r="L20" s="130"/>
    </row>
    <row r="21" spans="1:12" ht="15.75" x14ac:dyDescent="0.25">
      <c r="A21" s="75" t="s">
        <v>94</v>
      </c>
      <c r="B21" s="96">
        <f>0</f>
        <v>0</v>
      </c>
      <c r="E21" s="72"/>
      <c r="F21" s="72"/>
    </row>
    <row r="22" spans="1:12" ht="15.75" x14ac:dyDescent="0.25">
      <c r="A22" s="75" t="s">
        <v>66</v>
      </c>
      <c r="B22" s="96">
        <f>0</f>
        <v>0</v>
      </c>
      <c r="E22" s="72"/>
      <c r="F22" s="72"/>
    </row>
    <row r="23" spans="1:12" ht="15.75" x14ac:dyDescent="0.25">
      <c r="A23" s="73" t="s">
        <v>5</v>
      </c>
      <c r="B23" s="81">
        <f>SUM(B16:B22)</f>
        <v>0</v>
      </c>
      <c r="E23" s="72"/>
      <c r="F23" s="72"/>
    </row>
    <row r="24" spans="1:12" x14ac:dyDescent="0.2">
      <c r="B24" s="71"/>
      <c r="E24" s="72"/>
      <c r="F24" s="72"/>
    </row>
    <row r="25" spans="1:12" ht="15.75" x14ac:dyDescent="0.25">
      <c r="A25" s="73" t="s">
        <v>8</v>
      </c>
      <c r="B25" s="81">
        <f>B13+B23</f>
        <v>0</v>
      </c>
      <c r="D25" s="71"/>
      <c r="E25" s="72"/>
      <c r="F25" s="72"/>
    </row>
    <row r="26" spans="1:12" x14ac:dyDescent="0.2">
      <c r="E26" s="72"/>
      <c r="F26" s="72"/>
    </row>
    <row r="27" spans="1:12" x14ac:dyDescent="0.2">
      <c r="E27" s="72"/>
      <c r="F27" s="72"/>
    </row>
    <row r="28" spans="1:12" x14ac:dyDescent="0.2">
      <c r="E28" s="72"/>
      <c r="F28" s="72"/>
    </row>
    <row r="29" spans="1:12" x14ac:dyDescent="0.2">
      <c r="E29" s="72"/>
      <c r="F29" s="72"/>
    </row>
  </sheetData>
  <phoneticPr fontId="7" type="noConversion"/>
  <pageMargins left="0.75" right="0.75" top="1" bottom="1" header="0.5" footer="0.5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4707"/>
  <sheetViews>
    <sheetView topLeftCell="A9" zoomScale="98" zoomScaleNormal="98" workbookViewId="0">
      <selection activeCell="K9" sqref="K9"/>
    </sheetView>
  </sheetViews>
  <sheetFormatPr defaultColWidth="8.85546875" defaultRowHeight="12.75" x14ac:dyDescent="0.2"/>
  <cols>
    <col min="1" max="1" width="6.7109375" style="3" customWidth="1"/>
    <col min="2" max="2" width="11.5703125" style="3" bestFit="1" customWidth="1"/>
    <col min="3" max="3" width="9.42578125" style="3" customWidth="1"/>
    <col min="4" max="4" width="11.7109375" style="3" customWidth="1"/>
    <col min="5" max="5" width="11.5703125" style="3" hidden="1" customWidth="1"/>
    <col min="6" max="6" width="11.28515625" style="3" hidden="1" customWidth="1"/>
    <col min="7" max="7" width="14.28515625" style="3" hidden="1" customWidth="1"/>
    <col min="8" max="10" width="11.28515625" style="3" hidden="1" customWidth="1"/>
    <col min="11" max="11" width="9.7109375" style="3" customWidth="1"/>
    <col min="12" max="12" width="11.42578125" style="3" customWidth="1"/>
    <col min="13" max="13" width="10.7109375" style="3" customWidth="1"/>
    <col min="14" max="14" width="11.5703125" style="3" bestFit="1" customWidth="1"/>
    <col min="15" max="18" width="11.28515625" style="3" hidden="1" customWidth="1"/>
    <col min="19" max="19" width="16" style="3" hidden="1" customWidth="1"/>
    <col min="20" max="20" width="16.5703125" style="3" bestFit="1" customWidth="1"/>
    <col min="21" max="21" width="15" style="3" customWidth="1"/>
    <col min="22" max="22" width="15.85546875" style="3" customWidth="1"/>
    <col min="23" max="16384" width="8.85546875" style="3"/>
  </cols>
  <sheetData>
    <row r="1" spans="1:23" ht="15" x14ac:dyDescent="0.2">
      <c r="C1" s="79" t="s">
        <v>257</v>
      </c>
    </row>
    <row r="2" spans="1:23" ht="15" x14ac:dyDescent="0.2">
      <c r="C2" s="79" t="s">
        <v>258</v>
      </c>
      <c r="W2" s="67" t="s">
        <v>83</v>
      </c>
    </row>
    <row r="3" spans="1:23" ht="13.5" thickBot="1" x14ac:dyDescent="0.25"/>
    <row r="4" spans="1:23" s="1" customFormat="1" ht="13.5" thickBot="1" x14ac:dyDescent="0.25">
      <c r="B4" s="4"/>
      <c r="C4" s="210" t="s">
        <v>231</v>
      </c>
      <c r="D4" s="211"/>
      <c r="E4" s="212" t="s">
        <v>231</v>
      </c>
      <c r="F4" s="213"/>
      <c r="G4" s="210" t="s">
        <v>233</v>
      </c>
      <c r="H4" s="211"/>
      <c r="I4" s="212" t="s">
        <v>233</v>
      </c>
      <c r="J4" s="213"/>
      <c r="K4" s="210" t="s">
        <v>235</v>
      </c>
      <c r="L4" s="211"/>
      <c r="M4" s="212" t="s">
        <v>235</v>
      </c>
      <c r="N4" s="213"/>
      <c r="O4" s="210" t="s">
        <v>237</v>
      </c>
      <c r="P4" s="211"/>
      <c r="Q4" s="212" t="s">
        <v>237</v>
      </c>
      <c r="R4" s="213"/>
      <c r="S4" s="5" t="s">
        <v>26</v>
      </c>
      <c r="T4" s="6" t="s">
        <v>27</v>
      </c>
      <c r="U4" s="5" t="s">
        <v>26</v>
      </c>
      <c r="V4" s="6" t="s">
        <v>27</v>
      </c>
    </row>
    <row r="5" spans="1:23" s="1" customFormat="1" ht="13.5" thickBot="1" x14ac:dyDescent="0.25">
      <c r="B5" s="142"/>
      <c r="C5" s="210" t="s">
        <v>232</v>
      </c>
      <c r="D5" s="211"/>
      <c r="E5" s="212" t="s">
        <v>232</v>
      </c>
      <c r="F5" s="213"/>
      <c r="G5" s="210" t="s">
        <v>234</v>
      </c>
      <c r="H5" s="214"/>
      <c r="I5" s="212" t="s">
        <v>234</v>
      </c>
      <c r="J5" s="215"/>
      <c r="K5" s="210" t="s">
        <v>236</v>
      </c>
      <c r="L5" s="211"/>
      <c r="M5" s="212" t="s">
        <v>236</v>
      </c>
      <c r="N5" s="213"/>
      <c r="O5" s="210" t="s">
        <v>238</v>
      </c>
      <c r="P5" s="214"/>
      <c r="Q5" s="212" t="s">
        <v>238</v>
      </c>
      <c r="R5" s="215"/>
      <c r="S5" s="5"/>
      <c r="T5" s="6"/>
      <c r="U5" s="5"/>
      <c r="V5" s="6"/>
    </row>
    <row r="6" spans="1:23" ht="13.5" thickBot="1" x14ac:dyDescent="0.25">
      <c r="B6" s="7" t="s">
        <v>28</v>
      </c>
      <c r="C6" s="92" t="s">
        <v>29</v>
      </c>
      <c r="D6" s="93" t="s">
        <v>30</v>
      </c>
      <c r="E6" s="9" t="s">
        <v>29</v>
      </c>
      <c r="F6" s="10" t="s">
        <v>30</v>
      </c>
      <c r="G6" s="92" t="s">
        <v>29</v>
      </c>
      <c r="H6" s="93" t="s">
        <v>30</v>
      </c>
      <c r="I6" s="143" t="s">
        <v>29</v>
      </c>
      <c r="J6" s="144" t="s">
        <v>30</v>
      </c>
      <c r="K6" s="92" t="s">
        <v>29</v>
      </c>
      <c r="L6" s="93" t="s">
        <v>30</v>
      </c>
      <c r="M6" s="90" t="s">
        <v>29</v>
      </c>
      <c r="N6" s="8" t="s">
        <v>30</v>
      </c>
      <c r="O6" s="157" t="s">
        <v>29</v>
      </c>
      <c r="P6" s="93" t="s">
        <v>30</v>
      </c>
      <c r="Q6" s="143" t="s">
        <v>29</v>
      </c>
      <c r="R6" s="144" t="s">
        <v>30</v>
      </c>
      <c r="S6" s="9" t="s">
        <v>31</v>
      </c>
      <c r="T6" s="10" t="s">
        <v>32</v>
      </c>
      <c r="U6" s="9" t="s">
        <v>31</v>
      </c>
      <c r="V6" s="10" t="s">
        <v>32</v>
      </c>
    </row>
    <row r="7" spans="1:23" ht="13.5" thickBot="1" x14ac:dyDescent="0.25">
      <c r="B7" s="7" t="s">
        <v>33</v>
      </c>
      <c r="C7" s="94"/>
      <c r="D7" s="91"/>
      <c r="E7" s="89" t="s">
        <v>34</v>
      </c>
      <c r="F7" s="117" t="s">
        <v>35</v>
      </c>
      <c r="G7" s="94"/>
      <c r="H7" s="91"/>
      <c r="I7" s="145" t="s">
        <v>34</v>
      </c>
      <c r="J7" s="146" t="s">
        <v>35</v>
      </c>
      <c r="K7" s="94"/>
      <c r="L7" s="91"/>
      <c r="M7" s="90" t="s">
        <v>34</v>
      </c>
      <c r="N7" s="90" t="s">
        <v>35</v>
      </c>
      <c r="O7" s="158"/>
      <c r="P7" s="91"/>
      <c r="Q7" s="145" t="s">
        <v>34</v>
      </c>
      <c r="R7" s="146" t="s">
        <v>35</v>
      </c>
      <c r="S7" s="11" t="s">
        <v>36</v>
      </c>
      <c r="T7" s="12" t="s">
        <v>36</v>
      </c>
      <c r="U7" s="9" t="s">
        <v>34</v>
      </c>
      <c r="V7" s="10" t="s">
        <v>35</v>
      </c>
    </row>
    <row r="8" spans="1:23" ht="13.5" thickBot="1" x14ac:dyDescent="0.25">
      <c r="B8" s="13"/>
      <c r="C8" s="88" t="s">
        <v>37</v>
      </c>
      <c r="D8" s="55" t="s">
        <v>37</v>
      </c>
      <c r="E8" s="9" t="s">
        <v>37</v>
      </c>
      <c r="F8" s="10" t="s">
        <v>37</v>
      </c>
      <c r="G8" s="88" t="s">
        <v>37</v>
      </c>
      <c r="H8" s="55" t="s">
        <v>37</v>
      </c>
      <c r="I8" s="147" t="s">
        <v>37</v>
      </c>
      <c r="J8" s="148" t="s">
        <v>37</v>
      </c>
      <c r="K8" s="88" t="s">
        <v>37</v>
      </c>
      <c r="L8" s="55" t="s">
        <v>37</v>
      </c>
      <c r="M8" s="9" t="s">
        <v>37</v>
      </c>
      <c r="N8" s="14" t="s">
        <v>37</v>
      </c>
      <c r="O8" s="88" t="s">
        <v>37</v>
      </c>
      <c r="P8" s="55" t="s">
        <v>37</v>
      </c>
      <c r="Q8" s="147" t="s">
        <v>37</v>
      </c>
      <c r="R8" s="148" t="s">
        <v>37</v>
      </c>
      <c r="S8" s="16" t="s">
        <v>37</v>
      </c>
      <c r="T8" s="16" t="s">
        <v>37</v>
      </c>
      <c r="U8" s="16" t="s">
        <v>37</v>
      </c>
      <c r="V8" s="15" t="s">
        <v>37</v>
      </c>
    </row>
    <row r="9" spans="1:23" ht="15" x14ac:dyDescent="0.25">
      <c r="A9" s="3">
        <v>1</v>
      </c>
      <c r="B9" s="115">
        <v>44687</v>
      </c>
      <c r="C9" s="116">
        <v>0</v>
      </c>
      <c r="D9" s="116">
        <v>0</v>
      </c>
      <c r="E9" s="61">
        <f t="shared" ref="E9:F24" si="0">+C9</f>
        <v>0</v>
      </c>
      <c r="F9" s="61">
        <f t="shared" si="0"/>
        <v>0</v>
      </c>
      <c r="G9" s="153">
        <v>0</v>
      </c>
      <c r="H9" s="154">
        <v>0</v>
      </c>
      <c r="I9" s="61">
        <f t="shared" ref="I9:J24" si="1">+G9</f>
        <v>0</v>
      </c>
      <c r="J9" s="61">
        <f t="shared" si="1"/>
        <v>0</v>
      </c>
      <c r="K9" s="116">
        <v>7090</v>
      </c>
      <c r="L9" s="116">
        <v>50925</v>
      </c>
      <c r="M9" s="17">
        <f>+K9</f>
        <v>7090</v>
      </c>
      <c r="N9" s="17">
        <f>+L9</f>
        <v>50925</v>
      </c>
      <c r="O9" s="17"/>
      <c r="P9" s="17"/>
      <c r="Q9" s="17"/>
      <c r="R9" s="17"/>
      <c r="S9" s="17">
        <f t="shared" ref="S9:S27" si="2">C9+D9</f>
        <v>0</v>
      </c>
      <c r="T9" s="17">
        <f>K9+L9</f>
        <v>58015</v>
      </c>
      <c r="U9" s="17">
        <f t="shared" ref="U9:U60" si="3">E9+F9</f>
        <v>0</v>
      </c>
      <c r="V9" s="17">
        <f>M9+N9</f>
        <v>58015</v>
      </c>
    </row>
    <row r="10" spans="1:23" ht="15" x14ac:dyDescent="0.25">
      <c r="A10" s="3">
        <f>A9+1</f>
        <v>2</v>
      </c>
      <c r="B10" s="115">
        <f t="shared" ref="B10:B60" si="4">B9+7</f>
        <v>44694</v>
      </c>
      <c r="C10" s="116">
        <v>0</v>
      </c>
      <c r="D10" s="116">
        <v>0</v>
      </c>
      <c r="E10" s="62">
        <f t="shared" si="0"/>
        <v>0</v>
      </c>
      <c r="F10" s="62">
        <f t="shared" si="0"/>
        <v>0</v>
      </c>
      <c r="G10" s="155">
        <v>0</v>
      </c>
      <c r="H10" s="156">
        <v>0</v>
      </c>
      <c r="I10" s="62">
        <f t="shared" si="1"/>
        <v>0</v>
      </c>
      <c r="J10" s="62">
        <f t="shared" si="1"/>
        <v>0</v>
      </c>
      <c r="K10" s="116">
        <v>36504</v>
      </c>
      <c r="L10" s="116">
        <v>31191</v>
      </c>
      <c r="M10" s="18">
        <f t="shared" ref="M10:N25" si="5">M9+K10</f>
        <v>43594</v>
      </c>
      <c r="N10" s="18">
        <f t="shared" si="5"/>
        <v>82116</v>
      </c>
      <c r="O10" s="18"/>
      <c r="P10" s="18"/>
      <c r="Q10" s="18"/>
      <c r="R10" s="18"/>
      <c r="S10" s="18">
        <f t="shared" si="2"/>
        <v>0</v>
      </c>
      <c r="T10" s="18">
        <f t="shared" ref="T10:T60" si="6">K10+L10</f>
        <v>67695</v>
      </c>
      <c r="U10" s="18">
        <f t="shared" si="3"/>
        <v>0</v>
      </c>
      <c r="V10" s="18">
        <f t="shared" ref="V10:V60" si="7">M10+N10</f>
        <v>125710</v>
      </c>
    </row>
    <row r="11" spans="1:23" ht="15" x14ac:dyDescent="0.25">
      <c r="A11" s="3">
        <f t="shared" ref="A11:A61" si="8">A10+1</f>
        <v>3</v>
      </c>
      <c r="B11" s="115">
        <f t="shared" si="4"/>
        <v>44701</v>
      </c>
      <c r="C11" s="116">
        <v>0</v>
      </c>
      <c r="D11" s="116">
        <v>0</v>
      </c>
      <c r="E11" s="62">
        <f t="shared" si="0"/>
        <v>0</v>
      </c>
      <c r="F11" s="62">
        <f t="shared" si="0"/>
        <v>0</v>
      </c>
      <c r="G11" s="155">
        <v>0</v>
      </c>
      <c r="H11" s="156">
        <v>0</v>
      </c>
      <c r="I11" s="62">
        <f t="shared" si="1"/>
        <v>0</v>
      </c>
      <c r="J11" s="62">
        <f t="shared" si="1"/>
        <v>0</v>
      </c>
      <c r="K11" s="116">
        <v>30970</v>
      </c>
      <c r="L11" s="116">
        <v>15471</v>
      </c>
      <c r="M11" s="18">
        <f t="shared" si="5"/>
        <v>74564</v>
      </c>
      <c r="N11" s="18">
        <f t="shared" si="5"/>
        <v>97587</v>
      </c>
      <c r="O11" s="18"/>
      <c r="P11" s="18"/>
      <c r="Q11" s="18"/>
      <c r="R11" s="18"/>
      <c r="S11" s="18">
        <f t="shared" si="2"/>
        <v>0</v>
      </c>
      <c r="T11" s="18">
        <f t="shared" si="6"/>
        <v>46441</v>
      </c>
      <c r="U11" s="18">
        <f t="shared" si="3"/>
        <v>0</v>
      </c>
      <c r="V11" s="18">
        <f t="shared" si="7"/>
        <v>172151</v>
      </c>
    </row>
    <row r="12" spans="1:23" ht="15" x14ac:dyDescent="0.25">
      <c r="A12" s="3">
        <f t="shared" si="8"/>
        <v>4</v>
      </c>
      <c r="B12" s="115">
        <f t="shared" si="4"/>
        <v>44708</v>
      </c>
      <c r="C12" s="116">
        <v>0</v>
      </c>
      <c r="D12" s="116">
        <v>0</v>
      </c>
      <c r="E12" s="62">
        <f t="shared" si="0"/>
        <v>0</v>
      </c>
      <c r="F12" s="62">
        <f t="shared" si="0"/>
        <v>0</v>
      </c>
      <c r="G12" s="155">
        <v>0</v>
      </c>
      <c r="H12" s="156">
        <v>0</v>
      </c>
      <c r="I12" s="62">
        <f t="shared" si="1"/>
        <v>0</v>
      </c>
      <c r="J12" s="62">
        <f t="shared" si="1"/>
        <v>0</v>
      </c>
      <c r="K12" s="116">
        <v>14525</v>
      </c>
      <c r="L12" s="116">
        <v>100551</v>
      </c>
      <c r="M12" s="18">
        <f t="shared" si="5"/>
        <v>89089</v>
      </c>
      <c r="N12" s="18">
        <f t="shared" si="5"/>
        <v>198138</v>
      </c>
      <c r="O12" s="18"/>
      <c r="P12" s="18"/>
      <c r="Q12" s="18"/>
      <c r="R12" s="18"/>
      <c r="S12" s="18">
        <f t="shared" si="2"/>
        <v>0</v>
      </c>
      <c r="T12" s="18">
        <f t="shared" si="6"/>
        <v>115076</v>
      </c>
      <c r="U12" s="18">
        <f t="shared" si="3"/>
        <v>0</v>
      </c>
      <c r="V12" s="18">
        <f t="shared" si="7"/>
        <v>287227</v>
      </c>
    </row>
    <row r="13" spans="1:23" ht="15" x14ac:dyDescent="0.25">
      <c r="A13" s="3">
        <f t="shared" si="8"/>
        <v>5</v>
      </c>
      <c r="B13" s="115">
        <f t="shared" si="4"/>
        <v>44715</v>
      </c>
      <c r="C13" s="116">
        <v>0</v>
      </c>
      <c r="D13" s="116">
        <v>0</v>
      </c>
      <c r="E13" s="62">
        <f t="shared" si="0"/>
        <v>0</v>
      </c>
      <c r="F13" s="62">
        <f t="shared" si="0"/>
        <v>0</v>
      </c>
      <c r="G13" s="155">
        <v>0</v>
      </c>
      <c r="H13" s="156">
        <v>0</v>
      </c>
      <c r="I13" s="62">
        <f t="shared" si="1"/>
        <v>0</v>
      </c>
      <c r="J13" s="62">
        <f t="shared" si="1"/>
        <v>0</v>
      </c>
      <c r="K13" s="116">
        <v>49789</v>
      </c>
      <c r="L13" s="116">
        <v>2818</v>
      </c>
      <c r="M13" s="18">
        <f t="shared" si="5"/>
        <v>138878</v>
      </c>
      <c r="N13" s="18">
        <f t="shared" si="5"/>
        <v>200956</v>
      </c>
      <c r="O13" s="18"/>
      <c r="P13" s="18"/>
      <c r="Q13" s="18"/>
      <c r="R13" s="18"/>
      <c r="S13" s="18">
        <f t="shared" si="2"/>
        <v>0</v>
      </c>
      <c r="T13" s="18">
        <f t="shared" si="6"/>
        <v>52607</v>
      </c>
      <c r="U13" s="18">
        <f t="shared" si="3"/>
        <v>0</v>
      </c>
      <c r="V13" s="18">
        <f t="shared" si="7"/>
        <v>339834</v>
      </c>
    </row>
    <row r="14" spans="1:23" ht="15" x14ac:dyDescent="0.25">
      <c r="A14" s="3">
        <f t="shared" si="8"/>
        <v>6</v>
      </c>
      <c r="B14" s="115">
        <f t="shared" si="4"/>
        <v>44722</v>
      </c>
      <c r="C14" s="116">
        <v>0</v>
      </c>
      <c r="D14" s="116">
        <v>0</v>
      </c>
      <c r="E14" s="62">
        <f t="shared" si="0"/>
        <v>0</v>
      </c>
      <c r="F14" s="62">
        <f t="shared" si="0"/>
        <v>0</v>
      </c>
      <c r="G14" s="155">
        <v>0</v>
      </c>
      <c r="H14" s="156">
        <v>0</v>
      </c>
      <c r="I14" s="62">
        <f t="shared" si="1"/>
        <v>0</v>
      </c>
      <c r="J14" s="62">
        <f t="shared" si="1"/>
        <v>0</v>
      </c>
      <c r="K14" s="116">
        <v>4987</v>
      </c>
      <c r="L14" s="116">
        <v>127772</v>
      </c>
      <c r="M14" s="18">
        <f t="shared" si="5"/>
        <v>143865</v>
      </c>
      <c r="N14" s="18">
        <f t="shared" si="5"/>
        <v>328728</v>
      </c>
      <c r="O14" s="18"/>
      <c r="P14" s="18"/>
      <c r="Q14" s="18"/>
      <c r="R14" s="18"/>
      <c r="S14" s="18">
        <f t="shared" si="2"/>
        <v>0</v>
      </c>
      <c r="T14" s="18">
        <f t="shared" si="6"/>
        <v>132759</v>
      </c>
      <c r="U14" s="18">
        <f t="shared" si="3"/>
        <v>0</v>
      </c>
      <c r="V14" s="18">
        <f t="shared" si="7"/>
        <v>472593</v>
      </c>
    </row>
    <row r="15" spans="1:23" ht="15" x14ac:dyDescent="0.25">
      <c r="A15" s="3">
        <f t="shared" si="8"/>
        <v>7</v>
      </c>
      <c r="B15" s="115">
        <f t="shared" si="4"/>
        <v>44729</v>
      </c>
      <c r="C15" s="116">
        <v>0</v>
      </c>
      <c r="D15" s="116">
        <v>0</v>
      </c>
      <c r="E15" s="62">
        <f t="shared" si="0"/>
        <v>0</v>
      </c>
      <c r="F15" s="62">
        <f t="shared" si="0"/>
        <v>0</v>
      </c>
      <c r="G15" s="155">
        <v>0</v>
      </c>
      <c r="H15" s="156">
        <v>0</v>
      </c>
      <c r="I15" s="62">
        <f t="shared" si="1"/>
        <v>0</v>
      </c>
      <c r="J15" s="62">
        <f t="shared" si="1"/>
        <v>0</v>
      </c>
      <c r="K15" s="116">
        <v>5367</v>
      </c>
      <c r="L15" s="116">
        <v>93715</v>
      </c>
      <c r="M15" s="18">
        <f t="shared" si="5"/>
        <v>149232</v>
      </c>
      <c r="N15" s="18">
        <f t="shared" si="5"/>
        <v>422443</v>
      </c>
      <c r="O15" s="18"/>
      <c r="P15" s="18"/>
      <c r="Q15" s="18"/>
      <c r="R15" s="18"/>
      <c r="S15" s="18">
        <f t="shared" si="2"/>
        <v>0</v>
      </c>
      <c r="T15" s="18">
        <f t="shared" si="6"/>
        <v>99082</v>
      </c>
      <c r="U15" s="18">
        <f t="shared" si="3"/>
        <v>0</v>
      </c>
      <c r="V15" s="18">
        <f t="shared" si="7"/>
        <v>571675</v>
      </c>
    </row>
    <row r="16" spans="1:23" ht="15" x14ac:dyDescent="0.25">
      <c r="A16" s="3">
        <f t="shared" si="8"/>
        <v>8</v>
      </c>
      <c r="B16" s="115">
        <f t="shared" si="4"/>
        <v>44736</v>
      </c>
      <c r="C16" s="116">
        <v>0</v>
      </c>
      <c r="D16" s="116">
        <v>0</v>
      </c>
      <c r="E16" s="62">
        <f t="shared" si="0"/>
        <v>0</v>
      </c>
      <c r="F16" s="62">
        <f t="shared" si="0"/>
        <v>0</v>
      </c>
      <c r="G16" s="155">
        <v>0</v>
      </c>
      <c r="H16" s="156">
        <v>0</v>
      </c>
      <c r="I16" s="62">
        <f t="shared" si="1"/>
        <v>0</v>
      </c>
      <c r="J16" s="62">
        <f t="shared" si="1"/>
        <v>0</v>
      </c>
      <c r="K16" s="116">
        <v>9371</v>
      </c>
      <c r="L16" s="116">
        <v>131878</v>
      </c>
      <c r="M16" s="18">
        <f t="shared" si="5"/>
        <v>158603</v>
      </c>
      <c r="N16" s="18">
        <f t="shared" si="5"/>
        <v>554321</v>
      </c>
      <c r="O16" s="18"/>
      <c r="P16" s="18"/>
      <c r="Q16" s="18"/>
      <c r="R16" s="18"/>
      <c r="S16" s="18">
        <f t="shared" si="2"/>
        <v>0</v>
      </c>
      <c r="T16" s="18">
        <f t="shared" si="6"/>
        <v>141249</v>
      </c>
      <c r="U16" s="18">
        <f t="shared" si="3"/>
        <v>0</v>
      </c>
      <c r="V16" s="18">
        <f t="shared" si="7"/>
        <v>712924</v>
      </c>
    </row>
    <row r="17" spans="1:24" ht="15" x14ac:dyDescent="0.25">
      <c r="A17" s="3">
        <f t="shared" si="8"/>
        <v>9</v>
      </c>
      <c r="B17" s="115">
        <f t="shared" si="4"/>
        <v>44743</v>
      </c>
      <c r="C17" s="116">
        <v>0</v>
      </c>
      <c r="D17" s="116">
        <v>0</v>
      </c>
      <c r="E17" s="62">
        <f t="shared" si="0"/>
        <v>0</v>
      </c>
      <c r="F17" s="62">
        <f t="shared" si="0"/>
        <v>0</v>
      </c>
      <c r="G17" s="155">
        <v>0</v>
      </c>
      <c r="H17" s="156">
        <v>0</v>
      </c>
      <c r="I17" s="62">
        <f t="shared" si="1"/>
        <v>0</v>
      </c>
      <c r="J17" s="62">
        <f t="shared" si="1"/>
        <v>0</v>
      </c>
      <c r="K17" s="116">
        <v>4424</v>
      </c>
      <c r="L17" s="116">
        <v>66118</v>
      </c>
      <c r="M17" s="18">
        <f t="shared" si="5"/>
        <v>163027</v>
      </c>
      <c r="N17" s="18">
        <f t="shared" si="5"/>
        <v>620439</v>
      </c>
      <c r="O17" s="149"/>
      <c r="P17" s="149"/>
      <c r="Q17" s="18">
        <f>O17</f>
        <v>0</v>
      </c>
      <c r="R17" s="18">
        <f>P17</f>
        <v>0</v>
      </c>
      <c r="S17" s="18">
        <f t="shared" si="2"/>
        <v>0</v>
      </c>
      <c r="T17" s="18">
        <f t="shared" si="6"/>
        <v>70542</v>
      </c>
      <c r="U17" s="18">
        <f t="shared" si="3"/>
        <v>0</v>
      </c>
      <c r="V17" s="18">
        <f t="shared" si="7"/>
        <v>783466</v>
      </c>
    </row>
    <row r="18" spans="1:24" ht="15" x14ac:dyDescent="0.25">
      <c r="A18" s="3">
        <f t="shared" si="8"/>
        <v>10</v>
      </c>
      <c r="B18" s="115">
        <f t="shared" si="4"/>
        <v>44750</v>
      </c>
      <c r="C18" s="116">
        <v>0</v>
      </c>
      <c r="D18" s="116">
        <v>0</v>
      </c>
      <c r="E18" s="62">
        <f t="shared" si="0"/>
        <v>0</v>
      </c>
      <c r="F18" s="62">
        <f t="shared" si="0"/>
        <v>0</v>
      </c>
      <c r="G18" s="155">
        <v>0</v>
      </c>
      <c r="H18" s="156">
        <v>0</v>
      </c>
      <c r="I18" s="62">
        <f t="shared" si="1"/>
        <v>0</v>
      </c>
      <c r="J18" s="62">
        <f t="shared" si="1"/>
        <v>0</v>
      </c>
      <c r="K18" s="116">
        <v>7763</v>
      </c>
      <c r="L18" s="116">
        <v>117006</v>
      </c>
      <c r="M18" s="18">
        <f t="shared" si="5"/>
        <v>170790</v>
      </c>
      <c r="N18" s="18">
        <f t="shared" si="5"/>
        <v>737445</v>
      </c>
      <c r="O18" s="149"/>
      <c r="P18" s="149"/>
      <c r="Q18" s="18">
        <f>Q17+O18</f>
        <v>0</v>
      </c>
      <c r="R18" s="18">
        <f>R17+P18</f>
        <v>0</v>
      </c>
      <c r="S18" s="18">
        <f t="shared" si="2"/>
        <v>0</v>
      </c>
      <c r="T18" s="18">
        <f t="shared" si="6"/>
        <v>124769</v>
      </c>
      <c r="U18" s="18">
        <f t="shared" si="3"/>
        <v>0</v>
      </c>
      <c r="V18" s="18">
        <f t="shared" si="7"/>
        <v>908235</v>
      </c>
    </row>
    <row r="19" spans="1:24" ht="15" x14ac:dyDescent="0.25">
      <c r="A19" s="3">
        <f t="shared" si="8"/>
        <v>11</v>
      </c>
      <c r="B19" s="115">
        <f t="shared" si="4"/>
        <v>44757</v>
      </c>
      <c r="C19" s="116">
        <v>0</v>
      </c>
      <c r="D19" s="116">
        <v>0</v>
      </c>
      <c r="E19" s="62">
        <f t="shared" si="0"/>
        <v>0</v>
      </c>
      <c r="F19" s="62">
        <f t="shared" si="0"/>
        <v>0</v>
      </c>
      <c r="G19" s="155">
        <v>0</v>
      </c>
      <c r="H19" s="156">
        <v>0</v>
      </c>
      <c r="I19" s="62">
        <f t="shared" si="1"/>
        <v>0</v>
      </c>
      <c r="J19" s="62">
        <f t="shared" si="1"/>
        <v>0</v>
      </c>
      <c r="K19" s="116">
        <v>7925</v>
      </c>
      <c r="L19" s="116">
        <v>76739</v>
      </c>
      <c r="M19" s="18">
        <f t="shared" si="5"/>
        <v>178715</v>
      </c>
      <c r="N19" s="18">
        <f t="shared" si="5"/>
        <v>814184</v>
      </c>
      <c r="O19" s="149"/>
      <c r="P19" s="149"/>
      <c r="Q19" s="18">
        <f t="shared" ref="Q19:R29" si="9">Q18+O19</f>
        <v>0</v>
      </c>
      <c r="R19" s="18">
        <f t="shared" si="9"/>
        <v>0</v>
      </c>
      <c r="S19" s="18">
        <f t="shared" si="2"/>
        <v>0</v>
      </c>
      <c r="T19" s="18">
        <f t="shared" si="6"/>
        <v>84664</v>
      </c>
      <c r="U19" s="18">
        <f t="shared" si="3"/>
        <v>0</v>
      </c>
      <c r="V19" s="18">
        <f t="shared" si="7"/>
        <v>992899</v>
      </c>
    </row>
    <row r="20" spans="1:24" ht="15" x14ac:dyDescent="0.25">
      <c r="A20" s="3">
        <f t="shared" si="8"/>
        <v>12</v>
      </c>
      <c r="B20" s="115">
        <f t="shared" si="4"/>
        <v>44764</v>
      </c>
      <c r="C20" s="116">
        <v>0</v>
      </c>
      <c r="D20" s="116">
        <v>0</v>
      </c>
      <c r="E20" s="62">
        <f t="shared" si="0"/>
        <v>0</v>
      </c>
      <c r="F20" s="62">
        <f t="shared" si="0"/>
        <v>0</v>
      </c>
      <c r="G20" s="155">
        <v>0</v>
      </c>
      <c r="H20" s="156">
        <v>0</v>
      </c>
      <c r="I20" s="62">
        <f t="shared" si="1"/>
        <v>0</v>
      </c>
      <c r="J20" s="62">
        <f t="shared" si="1"/>
        <v>0</v>
      </c>
      <c r="K20" s="116">
        <v>7069</v>
      </c>
      <c r="L20" s="116">
        <v>122950</v>
      </c>
      <c r="M20" s="18">
        <f t="shared" si="5"/>
        <v>185784</v>
      </c>
      <c r="N20" s="18">
        <f t="shared" si="5"/>
        <v>937134</v>
      </c>
      <c r="O20" s="149"/>
      <c r="P20" s="149"/>
      <c r="Q20" s="18">
        <f t="shared" si="9"/>
        <v>0</v>
      </c>
      <c r="R20" s="18">
        <f t="shared" si="9"/>
        <v>0</v>
      </c>
      <c r="S20" s="18">
        <f t="shared" si="2"/>
        <v>0</v>
      </c>
      <c r="T20" s="18">
        <f t="shared" si="6"/>
        <v>130019</v>
      </c>
      <c r="U20" s="18">
        <f t="shared" si="3"/>
        <v>0</v>
      </c>
      <c r="V20" s="18">
        <f t="shared" si="7"/>
        <v>1122918</v>
      </c>
    </row>
    <row r="21" spans="1:24" ht="15" x14ac:dyDescent="0.25">
      <c r="A21" s="3">
        <f t="shared" si="8"/>
        <v>13</v>
      </c>
      <c r="B21" s="115">
        <f t="shared" si="4"/>
        <v>44771</v>
      </c>
      <c r="C21" s="116">
        <v>0</v>
      </c>
      <c r="D21" s="116">
        <v>0</v>
      </c>
      <c r="E21" s="62">
        <f t="shared" si="0"/>
        <v>0</v>
      </c>
      <c r="F21" s="62">
        <f t="shared" si="0"/>
        <v>0</v>
      </c>
      <c r="G21" s="155">
        <v>0</v>
      </c>
      <c r="H21" s="156">
        <v>0</v>
      </c>
      <c r="I21" s="62">
        <f t="shared" si="1"/>
        <v>0</v>
      </c>
      <c r="J21" s="62">
        <f t="shared" si="1"/>
        <v>0</v>
      </c>
      <c r="K21" s="116">
        <v>8657</v>
      </c>
      <c r="L21" s="116">
        <v>91575</v>
      </c>
      <c r="M21" s="18">
        <f t="shared" si="5"/>
        <v>194441</v>
      </c>
      <c r="N21" s="18">
        <f t="shared" si="5"/>
        <v>1028709</v>
      </c>
      <c r="O21" s="149"/>
      <c r="P21" s="149"/>
      <c r="Q21" s="18">
        <f t="shared" si="9"/>
        <v>0</v>
      </c>
      <c r="R21" s="18">
        <f t="shared" si="9"/>
        <v>0</v>
      </c>
      <c r="S21" s="18">
        <f t="shared" si="2"/>
        <v>0</v>
      </c>
      <c r="T21" s="18">
        <f t="shared" si="6"/>
        <v>100232</v>
      </c>
      <c r="U21" s="18">
        <f t="shared" si="3"/>
        <v>0</v>
      </c>
      <c r="V21" s="18">
        <f t="shared" si="7"/>
        <v>1223150</v>
      </c>
    </row>
    <row r="22" spans="1:24" ht="15" x14ac:dyDescent="0.25">
      <c r="A22" s="3">
        <f t="shared" si="8"/>
        <v>14</v>
      </c>
      <c r="B22" s="115">
        <f t="shared" si="4"/>
        <v>44778</v>
      </c>
      <c r="C22" s="116">
        <v>0</v>
      </c>
      <c r="D22" s="116">
        <v>0</v>
      </c>
      <c r="E22" s="62">
        <f t="shared" si="0"/>
        <v>0</v>
      </c>
      <c r="F22" s="62">
        <f t="shared" si="0"/>
        <v>0</v>
      </c>
      <c r="G22" s="155">
        <v>0</v>
      </c>
      <c r="H22" s="156">
        <v>0</v>
      </c>
      <c r="I22" s="62">
        <f t="shared" si="1"/>
        <v>0</v>
      </c>
      <c r="J22" s="62">
        <f t="shared" si="1"/>
        <v>0</v>
      </c>
      <c r="K22" s="116">
        <v>6342</v>
      </c>
      <c r="L22" s="116">
        <v>34300</v>
      </c>
      <c r="M22" s="18">
        <f t="shared" si="5"/>
        <v>200783</v>
      </c>
      <c r="N22" s="18">
        <f t="shared" si="5"/>
        <v>1063009</v>
      </c>
      <c r="O22" s="149"/>
      <c r="P22" s="149"/>
      <c r="Q22" s="18">
        <f t="shared" si="9"/>
        <v>0</v>
      </c>
      <c r="R22" s="18">
        <f t="shared" si="9"/>
        <v>0</v>
      </c>
      <c r="S22" s="18">
        <f t="shared" si="2"/>
        <v>0</v>
      </c>
      <c r="T22" s="18">
        <f t="shared" si="6"/>
        <v>40642</v>
      </c>
      <c r="U22" s="18">
        <f t="shared" si="3"/>
        <v>0</v>
      </c>
      <c r="V22" s="18">
        <f t="shared" si="7"/>
        <v>1263792</v>
      </c>
    </row>
    <row r="23" spans="1:24" ht="15" x14ac:dyDescent="0.25">
      <c r="A23" s="3">
        <f t="shared" si="8"/>
        <v>15</v>
      </c>
      <c r="B23" s="115">
        <f t="shared" si="4"/>
        <v>44785</v>
      </c>
      <c r="C23" s="116">
        <v>0</v>
      </c>
      <c r="D23" s="116">
        <v>0</v>
      </c>
      <c r="E23" s="62">
        <f t="shared" si="0"/>
        <v>0</v>
      </c>
      <c r="F23" s="62">
        <f t="shared" si="0"/>
        <v>0</v>
      </c>
      <c r="G23" s="155">
        <v>0</v>
      </c>
      <c r="H23" s="156">
        <v>0</v>
      </c>
      <c r="I23" s="62">
        <f t="shared" si="1"/>
        <v>0</v>
      </c>
      <c r="J23" s="62">
        <f t="shared" si="1"/>
        <v>0</v>
      </c>
      <c r="K23" s="116">
        <v>7429</v>
      </c>
      <c r="L23" s="116">
        <v>49398</v>
      </c>
      <c r="M23" s="18">
        <f t="shared" si="5"/>
        <v>208212</v>
      </c>
      <c r="N23" s="18">
        <f t="shared" si="5"/>
        <v>1112407</v>
      </c>
      <c r="O23" s="149"/>
      <c r="P23" s="149"/>
      <c r="Q23" s="18">
        <f t="shared" si="9"/>
        <v>0</v>
      </c>
      <c r="R23" s="18">
        <f t="shared" si="9"/>
        <v>0</v>
      </c>
      <c r="S23" s="18">
        <f t="shared" si="2"/>
        <v>0</v>
      </c>
      <c r="T23" s="18">
        <f t="shared" si="6"/>
        <v>56827</v>
      </c>
      <c r="U23" s="18">
        <f t="shared" si="3"/>
        <v>0</v>
      </c>
      <c r="V23" s="18">
        <f t="shared" si="7"/>
        <v>1320619</v>
      </c>
    </row>
    <row r="24" spans="1:24" ht="15" x14ac:dyDescent="0.25">
      <c r="A24" s="3">
        <f t="shared" si="8"/>
        <v>16</v>
      </c>
      <c r="B24" s="115">
        <f t="shared" si="4"/>
        <v>44792</v>
      </c>
      <c r="C24" s="116">
        <v>0</v>
      </c>
      <c r="D24" s="116">
        <v>0</v>
      </c>
      <c r="E24" s="62">
        <f t="shared" si="0"/>
        <v>0</v>
      </c>
      <c r="F24" s="62">
        <f t="shared" si="0"/>
        <v>0</v>
      </c>
      <c r="G24" s="155">
        <v>0</v>
      </c>
      <c r="H24" s="156">
        <v>0</v>
      </c>
      <c r="I24" s="62">
        <f t="shared" si="1"/>
        <v>0</v>
      </c>
      <c r="J24" s="62">
        <f t="shared" si="1"/>
        <v>0</v>
      </c>
      <c r="K24" s="116">
        <v>8147</v>
      </c>
      <c r="L24" s="116">
        <v>114680</v>
      </c>
      <c r="M24" s="18">
        <f t="shared" si="5"/>
        <v>216359</v>
      </c>
      <c r="N24" s="18">
        <f t="shared" si="5"/>
        <v>1227087</v>
      </c>
      <c r="O24" s="149"/>
      <c r="P24" s="149"/>
      <c r="Q24" s="18">
        <f t="shared" si="9"/>
        <v>0</v>
      </c>
      <c r="R24" s="18">
        <f t="shared" si="9"/>
        <v>0</v>
      </c>
      <c r="S24" s="18">
        <f t="shared" si="2"/>
        <v>0</v>
      </c>
      <c r="T24" s="18">
        <f t="shared" si="6"/>
        <v>122827</v>
      </c>
      <c r="U24" s="18">
        <f t="shared" si="3"/>
        <v>0</v>
      </c>
      <c r="V24" s="18">
        <f t="shared" si="7"/>
        <v>1443446</v>
      </c>
    </row>
    <row r="25" spans="1:24" ht="15" x14ac:dyDescent="0.25">
      <c r="A25" s="3">
        <f t="shared" si="8"/>
        <v>17</v>
      </c>
      <c r="B25" s="115">
        <f t="shared" si="4"/>
        <v>44799</v>
      </c>
      <c r="C25" s="116">
        <v>0</v>
      </c>
      <c r="D25" s="116">
        <v>0</v>
      </c>
      <c r="E25" s="62">
        <f t="shared" ref="E25:F40" si="10">+C25</f>
        <v>0</v>
      </c>
      <c r="F25" s="62">
        <f t="shared" si="10"/>
        <v>0</v>
      </c>
      <c r="G25" s="155">
        <v>0</v>
      </c>
      <c r="H25" s="156">
        <v>0</v>
      </c>
      <c r="I25" s="62">
        <f t="shared" ref="I25:J40" si="11">+G25</f>
        <v>0</v>
      </c>
      <c r="J25" s="62">
        <f t="shared" si="11"/>
        <v>0</v>
      </c>
      <c r="K25" s="116">
        <v>9485</v>
      </c>
      <c r="L25" s="116">
        <v>8064</v>
      </c>
      <c r="M25" s="18">
        <f t="shared" si="5"/>
        <v>225844</v>
      </c>
      <c r="N25" s="18">
        <f t="shared" si="5"/>
        <v>1235151</v>
      </c>
      <c r="O25" s="149"/>
      <c r="P25" s="149"/>
      <c r="Q25" s="18">
        <f t="shared" si="9"/>
        <v>0</v>
      </c>
      <c r="R25" s="18">
        <f t="shared" si="9"/>
        <v>0</v>
      </c>
      <c r="S25" s="18">
        <f t="shared" si="2"/>
        <v>0</v>
      </c>
      <c r="T25" s="18">
        <f t="shared" si="6"/>
        <v>17549</v>
      </c>
      <c r="U25" s="18">
        <f t="shared" si="3"/>
        <v>0</v>
      </c>
      <c r="V25" s="18">
        <f t="shared" si="7"/>
        <v>1460995</v>
      </c>
    </row>
    <row r="26" spans="1:24" ht="15" x14ac:dyDescent="0.25">
      <c r="A26" s="3">
        <f t="shared" si="8"/>
        <v>18</v>
      </c>
      <c r="B26" s="115">
        <f t="shared" si="4"/>
        <v>44806</v>
      </c>
      <c r="C26" s="116">
        <v>0</v>
      </c>
      <c r="D26" s="116">
        <v>0</v>
      </c>
      <c r="E26" s="62">
        <f t="shared" si="10"/>
        <v>0</v>
      </c>
      <c r="F26" s="62">
        <f t="shared" si="10"/>
        <v>0</v>
      </c>
      <c r="G26" s="155">
        <v>0</v>
      </c>
      <c r="H26" s="156">
        <v>0</v>
      </c>
      <c r="I26" s="62">
        <f t="shared" si="11"/>
        <v>0</v>
      </c>
      <c r="J26" s="62">
        <f t="shared" si="11"/>
        <v>0</v>
      </c>
      <c r="K26" s="116">
        <v>7043</v>
      </c>
      <c r="L26" s="116">
        <v>3612</v>
      </c>
      <c r="M26" s="18">
        <f t="shared" ref="M26:N41" si="12">M25+K26</f>
        <v>232887</v>
      </c>
      <c r="N26" s="18">
        <f t="shared" si="12"/>
        <v>1238763</v>
      </c>
      <c r="O26" s="149"/>
      <c r="P26" s="149"/>
      <c r="Q26" s="18">
        <f t="shared" si="9"/>
        <v>0</v>
      </c>
      <c r="R26" s="18">
        <f t="shared" si="9"/>
        <v>0</v>
      </c>
      <c r="S26" s="18">
        <f t="shared" si="2"/>
        <v>0</v>
      </c>
      <c r="T26" s="18">
        <f t="shared" si="6"/>
        <v>10655</v>
      </c>
      <c r="U26" s="18">
        <f t="shared" si="3"/>
        <v>0</v>
      </c>
      <c r="V26" s="18">
        <f t="shared" si="7"/>
        <v>1471650</v>
      </c>
    </row>
    <row r="27" spans="1:24" ht="15" x14ac:dyDescent="0.25">
      <c r="A27" s="3">
        <f t="shared" si="8"/>
        <v>19</v>
      </c>
      <c r="B27" s="115">
        <f t="shared" si="4"/>
        <v>44813</v>
      </c>
      <c r="C27" s="116">
        <v>0</v>
      </c>
      <c r="D27" s="116">
        <v>0</v>
      </c>
      <c r="E27" s="62">
        <f t="shared" si="10"/>
        <v>0</v>
      </c>
      <c r="F27" s="62">
        <f t="shared" si="10"/>
        <v>0</v>
      </c>
      <c r="G27" s="155">
        <v>0</v>
      </c>
      <c r="H27" s="156">
        <v>0</v>
      </c>
      <c r="I27" s="62">
        <f t="shared" si="11"/>
        <v>0</v>
      </c>
      <c r="J27" s="62">
        <f t="shared" si="11"/>
        <v>0</v>
      </c>
      <c r="K27" s="116">
        <v>50114</v>
      </c>
      <c r="L27" s="116">
        <v>58719</v>
      </c>
      <c r="M27" s="18">
        <f t="shared" si="12"/>
        <v>283001</v>
      </c>
      <c r="N27" s="18">
        <f t="shared" si="12"/>
        <v>1297482</v>
      </c>
      <c r="O27" s="149"/>
      <c r="P27" s="149"/>
      <c r="Q27" s="18">
        <f t="shared" si="9"/>
        <v>0</v>
      </c>
      <c r="R27" s="18">
        <f t="shared" si="9"/>
        <v>0</v>
      </c>
      <c r="S27" s="18">
        <f t="shared" si="2"/>
        <v>0</v>
      </c>
      <c r="T27" s="18">
        <f t="shared" si="6"/>
        <v>108833</v>
      </c>
      <c r="U27" s="18">
        <f t="shared" si="3"/>
        <v>0</v>
      </c>
      <c r="V27" s="18">
        <f t="shared" si="7"/>
        <v>1580483</v>
      </c>
    </row>
    <row r="28" spans="1:24" ht="15" x14ac:dyDescent="0.25">
      <c r="A28" s="3">
        <f t="shared" si="8"/>
        <v>20</v>
      </c>
      <c r="B28" s="115">
        <f t="shared" si="4"/>
        <v>44820</v>
      </c>
      <c r="C28" s="116">
        <v>0</v>
      </c>
      <c r="D28" s="116">
        <v>0</v>
      </c>
      <c r="E28" s="62">
        <f t="shared" si="10"/>
        <v>0</v>
      </c>
      <c r="F28" s="62">
        <f t="shared" si="10"/>
        <v>0</v>
      </c>
      <c r="G28" s="155">
        <v>0</v>
      </c>
      <c r="H28" s="156">
        <v>0</v>
      </c>
      <c r="I28" s="62">
        <f t="shared" si="11"/>
        <v>0</v>
      </c>
      <c r="J28" s="62">
        <f t="shared" si="11"/>
        <v>0</v>
      </c>
      <c r="K28" s="116">
        <v>6855</v>
      </c>
      <c r="L28" s="116">
        <v>20999</v>
      </c>
      <c r="M28" s="18">
        <f t="shared" si="12"/>
        <v>289856</v>
      </c>
      <c r="N28" s="18">
        <f t="shared" si="12"/>
        <v>1318481</v>
      </c>
      <c r="O28" s="149"/>
      <c r="P28" s="149"/>
      <c r="Q28" s="18">
        <f t="shared" si="9"/>
        <v>0</v>
      </c>
      <c r="R28" s="18">
        <f t="shared" si="9"/>
        <v>0</v>
      </c>
      <c r="S28" s="18" t="s">
        <v>95</v>
      </c>
      <c r="T28" s="18">
        <f t="shared" si="6"/>
        <v>27854</v>
      </c>
      <c r="U28" s="18">
        <f t="shared" si="3"/>
        <v>0</v>
      </c>
      <c r="V28" s="18">
        <f t="shared" si="7"/>
        <v>1608337</v>
      </c>
    </row>
    <row r="29" spans="1:24" ht="15" x14ac:dyDescent="0.25">
      <c r="A29" s="3">
        <f t="shared" si="8"/>
        <v>21</v>
      </c>
      <c r="B29" s="115">
        <f t="shared" si="4"/>
        <v>44827</v>
      </c>
      <c r="C29" s="116">
        <v>0</v>
      </c>
      <c r="D29" s="116">
        <v>0</v>
      </c>
      <c r="E29" s="62">
        <f t="shared" si="10"/>
        <v>0</v>
      </c>
      <c r="F29" s="62">
        <f t="shared" si="10"/>
        <v>0</v>
      </c>
      <c r="G29" s="155">
        <v>0</v>
      </c>
      <c r="H29" s="156">
        <v>0</v>
      </c>
      <c r="I29" s="62">
        <f t="shared" si="11"/>
        <v>0</v>
      </c>
      <c r="J29" s="62">
        <f t="shared" si="11"/>
        <v>0</v>
      </c>
      <c r="K29" s="116">
        <v>9654</v>
      </c>
      <c r="L29" s="116">
        <v>43185</v>
      </c>
      <c r="M29" s="18">
        <f t="shared" si="12"/>
        <v>299510</v>
      </c>
      <c r="N29" s="18">
        <f t="shared" si="12"/>
        <v>1361666</v>
      </c>
      <c r="O29" s="149"/>
      <c r="P29" s="149"/>
      <c r="Q29" s="18">
        <f t="shared" si="9"/>
        <v>0</v>
      </c>
      <c r="R29" s="18">
        <f t="shared" si="9"/>
        <v>0</v>
      </c>
      <c r="S29" s="18">
        <f t="shared" ref="S29:S60" si="13">C29+D29</f>
        <v>0</v>
      </c>
      <c r="T29" s="18">
        <f t="shared" si="6"/>
        <v>52839</v>
      </c>
      <c r="U29" s="18">
        <f t="shared" si="3"/>
        <v>0</v>
      </c>
      <c r="V29" s="18">
        <f t="shared" si="7"/>
        <v>1661176</v>
      </c>
    </row>
    <row r="30" spans="1:24" ht="15" x14ac:dyDescent="0.25">
      <c r="A30" s="3">
        <f t="shared" si="8"/>
        <v>22</v>
      </c>
      <c r="B30" s="115">
        <f t="shared" si="4"/>
        <v>44834</v>
      </c>
      <c r="C30" s="116">
        <v>0</v>
      </c>
      <c r="D30" s="116">
        <v>0</v>
      </c>
      <c r="E30" s="62">
        <f t="shared" si="10"/>
        <v>0</v>
      </c>
      <c r="F30" s="62">
        <f t="shared" si="10"/>
        <v>0</v>
      </c>
      <c r="G30" s="155">
        <v>0</v>
      </c>
      <c r="H30" s="156">
        <v>0</v>
      </c>
      <c r="I30" s="62">
        <f t="shared" si="11"/>
        <v>0</v>
      </c>
      <c r="J30" s="62">
        <f t="shared" si="11"/>
        <v>0</v>
      </c>
      <c r="K30" s="116">
        <v>53021</v>
      </c>
      <c r="L30" s="116">
        <v>81974</v>
      </c>
      <c r="M30" s="18">
        <f t="shared" si="12"/>
        <v>352531</v>
      </c>
      <c r="N30" s="18">
        <f t="shared" si="12"/>
        <v>1443640</v>
      </c>
      <c r="O30" s="150"/>
      <c r="P30" s="150"/>
      <c r="Q30" s="18"/>
      <c r="R30" s="18"/>
      <c r="S30" s="50">
        <f t="shared" si="13"/>
        <v>0</v>
      </c>
      <c r="T30" s="18">
        <f t="shared" si="6"/>
        <v>134995</v>
      </c>
      <c r="U30" s="46">
        <f t="shared" si="3"/>
        <v>0</v>
      </c>
      <c r="V30" s="18">
        <f t="shared" si="7"/>
        <v>1796171</v>
      </c>
    </row>
    <row r="31" spans="1:24" ht="15" x14ac:dyDescent="0.25">
      <c r="A31" s="3">
        <f t="shared" si="8"/>
        <v>23</v>
      </c>
      <c r="B31" s="115">
        <f t="shared" si="4"/>
        <v>44841</v>
      </c>
      <c r="C31" s="116">
        <v>0</v>
      </c>
      <c r="D31" s="116">
        <v>0</v>
      </c>
      <c r="E31" s="62">
        <f t="shared" si="10"/>
        <v>0</v>
      </c>
      <c r="F31" s="62">
        <f t="shared" si="10"/>
        <v>0</v>
      </c>
      <c r="G31" s="155">
        <v>0</v>
      </c>
      <c r="H31" s="156">
        <v>0</v>
      </c>
      <c r="I31" s="62">
        <f t="shared" si="11"/>
        <v>0</v>
      </c>
      <c r="J31" s="62">
        <f t="shared" si="11"/>
        <v>0</v>
      </c>
      <c r="K31" s="116">
        <v>6830</v>
      </c>
      <c r="L31" s="116">
        <v>51576</v>
      </c>
      <c r="M31" s="18">
        <f t="shared" si="12"/>
        <v>359361</v>
      </c>
      <c r="N31" s="18">
        <f t="shared" si="12"/>
        <v>1495216</v>
      </c>
      <c r="O31" s="149"/>
      <c r="P31" s="149"/>
      <c r="Q31" s="18"/>
      <c r="R31" s="18"/>
      <c r="S31" s="19">
        <f t="shared" si="13"/>
        <v>0</v>
      </c>
      <c r="T31" s="18">
        <f t="shared" si="6"/>
        <v>58406</v>
      </c>
      <c r="U31" s="18">
        <f t="shared" si="3"/>
        <v>0</v>
      </c>
      <c r="V31" s="46">
        <f t="shared" si="7"/>
        <v>1854577</v>
      </c>
      <c r="X31" s="67" t="s">
        <v>84</v>
      </c>
    </row>
    <row r="32" spans="1:24" ht="15" x14ac:dyDescent="0.25">
      <c r="A32" s="3">
        <f t="shared" si="8"/>
        <v>24</v>
      </c>
      <c r="B32" s="115">
        <f t="shared" si="4"/>
        <v>44848</v>
      </c>
      <c r="C32" s="116">
        <v>0</v>
      </c>
      <c r="D32" s="116">
        <v>0</v>
      </c>
      <c r="E32" s="62">
        <f t="shared" si="10"/>
        <v>0</v>
      </c>
      <c r="F32" s="62">
        <f t="shared" si="10"/>
        <v>0</v>
      </c>
      <c r="G32" s="155">
        <v>0</v>
      </c>
      <c r="H32" s="156">
        <v>0</v>
      </c>
      <c r="I32" s="62">
        <f t="shared" si="11"/>
        <v>0</v>
      </c>
      <c r="J32" s="62">
        <f t="shared" si="11"/>
        <v>0</v>
      </c>
      <c r="K32" s="116">
        <v>8607</v>
      </c>
      <c r="L32" s="116">
        <v>35669</v>
      </c>
      <c r="M32" s="18">
        <f t="shared" si="12"/>
        <v>367968</v>
      </c>
      <c r="N32" s="18">
        <f t="shared" si="12"/>
        <v>1530885</v>
      </c>
      <c r="O32" s="149"/>
      <c r="P32" s="149"/>
      <c r="Q32" s="18"/>
      <c r="R32" s="18"/>
      <c r="S32" s="19">
        <f t="shared" si="13"/>
        <v>0</v>
      </c>
      <c r="T32" s="18">
        <f t="shared" si="6"/>
        <v>44276</v>
      </c>
      <c r="U32" s="18">
        <f t="shared" si="3"/>
        <v>0</v>
      </c>
      <c r="V32" s="46">
        <f t="shared" si="7"/>
        <v>1898853</v>
      </c>
    </row>
    <row r="33" spans="1:22" ht="15" x14ac:dyDescent="0.25">
      <c r="A33" s="3">
        <f t="shared" si="8"/>
        <v>25</v>
      </c>
      <c r="B33" s="115">
        <f t="shared" si="4"/>
        <v>44855</v>
      </c>
      <c r="C33" s="116">
        <v>0</v>
      </c>
      <c r="D33" s="116">
        <v>0</v>
      </c>
      <c r="E33" s="62">
        <f t="shared" si="10"/>
        <v>0</v>
      </c>
      <c r="F33" s="62">
        <f t="shared" si="10"/>
        <v>0</v>
      </c>
      <c r="G33" s="155">
        <v>0</v>
      </c>
      <c r="H33" s="156">
        <v>0</v>
      </c>
      <c r="I33" s="62">
        <f t="shared" si="11"/>
        <v>0</v>
      </c>
      <c r="J33" s="62">
        <f t="shared" si="11"/>
        <v>0</v>
      </c>
      <c r="K33" s="116">
        <v>7566</v>
      </c>
      <c r="L33" s="116">
        <v>58769</v>
      </c>
      <c r="M33" s="18">
        <f t="shared" si="12"/>
        <v>375534</v>
      </c>
      <c r="N33" s="18">
        <f t="shared" si="12"/>
        <v>1589654</v>
      </c>
      <c r="O33" s="149"/>
      <c r="P33" s="149"/>
      <c r="Q33" s="18"/>
      <c r="R33" s="18"/>
      <c r="S33" s="19">
        <f t="shared" si="13"/>
        <v>0</v>
      </c>
      <c r="T33" s="18">
        <f t="shared" si="6"/>
        <v>66335</v>
      </c>
      <c r="U33" s="18">
        <f t="shared" si="3"/>
        <v>0</v>
      </c>
      <c r="V33" s="46">
        <f t="shared" si="7"/>
        <v>1965188</v>
      </c>
    </row>
    <row r="34" spans="1:22" ht="15" x14ac:dyDescent="0.25">
      <c r="A34" s="3">
        <f t="shared" si="8"/>
        <v>26</v>
      </c>
      <c r="B34" s="115">
        <f t="shared" si="4"/>
        <v>44862</v>
      </c>
      <c r="C34" s="116">
        <v>0</v>
      </c>
      <c r="D34" s="116">
        <v>0</v>
      </c>
      <c r="E34" s="62">
        <f t="shared" si="10"/>
        <v>0</v>
      </c>
      <c r="F34" s="62">
        <f t="shared" si="10"/>
        <v>0</v>
      </c>
      <c r="G34" s="155">
        <v>0</v>
      </c>
      <c r="H34" s="156">
        <v>0</v>
      </c>
      <c r="I34" s="62">
        <f t="shared" si="11"/>
        <v>0</v>
      </c>
      <c r="J34" s="62">
        <f t="shared" si="11"/>
        <v>0</v>
      </c>
      <c r="K34" s="116">
        <v>8216</v>
      </c>
      <c r="L34" s="116">
        <v>56120</v>
      </c>
      <c r="M34" s="18">
        <f t="shared" si="12"/>
        <v>383750</v>
      </c>
      <c r="N34" s="18">
        <f t="shared" si="12"/>
        <v>1645774</v>
      </c>
      <c r="O34" s="149"/>
      <c r="P34" s="149"/>
      <c r="Q34" s="18"/>
      <c r="R34" s="18"/>
      <c r="S34" s="19">
        <f t="shared" si="13"/>
        <v>0</v>
      </c>
      <c r="T34" s="18">
        <f t="shared" si="6"/>
        <v>64336</v>
      </c>
      <c r="U34" s="18">
        <f t="shared" si="3"/>
        <v>0</v>
      </c>
      <c r="V34" s="46">
        <f t="shared" si="7"/>
        <v>2029524</v>
      </c>
    </row>
    <row r="35" spans="1:22" ht="15" x14ac:dyDescent="0.25">
      <c r="A35" s="3">
        <f t="shared" si="8"/>
        <v>27</v>
      </c>
      <c r="B35" s="115">
        <f t="shared" si="4"/>
        <v>44869</v>
      </c>
      <c r="C35" s="116">
        <v>0</v>
      </c>
      <c r="D35" s="116">
        <v>0</v>
      </c>
      <c r="E35" s="62">
        <f t="shared" si="10"/>
        <v>0</v>
      </c>
      <c r="F35" s="62">
        <f t="shared" si="10"/>
        <v>0</v>
      </c>
      <c r="G35" s="155">
        <v>0</v>
      </c>
      <c r="H35" s="156">
        <v>0</v>
      </c>
      <c r="I35" s="62">
        <f t="shared" si="11"/>
        <v>0</v>
      </c>
      <c r="J35" s="62">
        <f t="shared" si="11"/>
        <v>0</v>
      </c>
      <c r="K35" s="116">
        <v>7957</v>
      </c>
      <c r="L35" s="116">
        <v>56353</v>
      </c>
      <c r="M35" s="18">
        <f t="shared" si="12"/>
        <v>391707</v>
      </c>
      <c r="N35" s="18">
        <f t="shared" si="12"/>
        <v>1702127</v>
      </c>
      <c r="O35" s="149"/>
      <c r="P35" s="149"/>
      <c r="Q35" s="18"/>
      <c r="R35" s="18"/>
      <c r="S35" s="19">
        <f t="shared" si="13"/>
        <v>0</v>
      </c>
      <c r="T35" s="18">
        <f t="shared" si="6"/>
        <v>64310</v>
      </c>
      <c r="U35" s="18">
        <f t="shared" si="3"/>
        <v>0</v>
      </c>
      <c r="V35" s="46">
        <f t="shared" si="7"/>
        <v>2093834</v>
      </c>
    </row>
    <row r="36" spans="1:22" ht="15" x14ac:dyDescent="0.25">
      <c r="A36" s="3">
        <f t="shared" si="8"/>
        <v>28</v>
      </c>
      <c r="B36" s="115">
        <f t="shared" si="4"/>
        <v>44876</v>
      </c>
      <c r="C36" s="116">
        <v>0</v>
      </c>
      <c r="D36" s="116">
        <v>0</v>
      </c>
      <c r="E36" s="62">
        <f t="shared" si="10"/>
        <v>0</v>
      </c>
      <c r="F36" s="62">
        <f t="shared" si="10"/>
        <v>0</v>
      </c>
      <c r="G36" s="155">
        <v>0</v>
      </c>
      <c r="H36" s="156">
        <v>0</v>
      </c>
      <c r="I36" s="62">
        <f t="shared" si="11"/>
        <v>0</v>
      </c>
      <c r="J36" s="62">
        <f t="shared" si="11"/>
        <v>0</v>
      </c>
      <c r="K36" s="116">
        <v>6804</v>
      </c>
      <c r="L36" s="116">
        <v>7239</v>
      </c>
      <c r="M36" s="18">
        <f t="shared" si="12"/>
        <v>398511</v>
      </c>
      <c r="N36" s="18">
        <f t="shared" si="12"/>
        <v>1709366</v>
      </c>
      <c r="O36" s="149"/>
      <c r="P36" s="149"/>
      <c r="Q36" s="18"/>
      <c r="R36" s="18"/>
      <c r="S36" s="19">
        <f t="shared" si="13"/>
        <v>0</v>
      </c>
      <c r="T36" s="18">
        <f t="shared" si="6"/>
        <v>14043</v>
      </c>
      <c r="U36" s="18">
        <f t="shared" si="3"/>
        <v>0</v>
      </c>
      <c r="V36" s="46">
        <f t="shared" si="7"/>
        <v>2107877</v>
      </c>
    </row>
    <row r="37" spans="1:22" ht="15" x14ac:dyDescent="0.25">
      <c r="A37" s="3">
        <f t="shared" si="8"/>
        <v>29</v>
      </c>
      <c r="B37" s="115">
        <f t="shared" si="4"/>
        <v>44883</v>
      </c>
      <c r="C37" s="116">
        <v>0</v>
      </c>
      <c r="D37" s="116">
        <v>0</v>
      </c>
      <c r="E37" s="62">
        <f t="shared" si="10"/>
        <v>0</v>
      </c>
      <c r="F37" s="62">
        <f t="shared" si="10"/>
        <v>0</v>
      </c>
      <c r="G37" s="155">
        <v>0</v>
      </c>
      <c r="H37" s="156">
        <v>0</v>
      </c>
      <c r="I37" s="62">
        <f t="shared" si="11"/>
        <v>0</v>
      </c>
      <c r="J37" s="62">
        <f t="shared" si="11"/>
        <v>0</v>
      </c>
      <c r="K37" s="116">
        <v>31510</v>
      </c>
      <c r="L37" s="116">
        <v>4810</v>
      </c>
      <c r="M37" s="18">
        <f t="shared" si="12"/>
        <v>430021</v>
      </c>
      <c r="N37" s="18">
        <f t="shared" si="12"/>
        <v>1714176</v>
      </c>
      <c r="O37" s="149"/>
      <c r="P37" s="149"/>
      <c r="Q37" s="18"/>
      <c r="R37" s="18"/>
      <c r="S37" s="19">
        <f t="shared" si="13"/>
        <v>0</v>
      </c>
      <c r="T37" s="18">
        <f t="shared" si="6"/>
        <v>36320</v>
      </c>
      <c r="U37" s="18">
        <f t="shared" si="3"/>
        <v>0</v>
      </c>
      <c r="V37" s="46">
        <f t="shared" si="7"/>
        <v>2144197</v>
      </c>
    </row>
    <row r="38" spans="1:22" ht="15" x14ac:dyDescent="0.25">
      <c r="A38" s="3">
        <f t="shared" si="8"/>
        <v>30</v>
      </c>
      <c r="B38" s="115">
        <f t="shared" si="4"/>
        <v>44890</v>
      </c>
      <c r="C38" s="116">
        <v>0</v>
      </c>
      <c r="D38" s="116">
        <v>0</v>
      </c>
      <c r="E38" s="62">
        <f t="shared" si="10"/>
        <v>0</v>
      </c>
      <c r="F38" s="62">
        <f t="shared" si="10"/>
        <v>0</v>
      </c>
      <c r="G38" s="155">
        <v>0</v>
      </c>
      <c r="H38" s="156">
        <v>0</v>
      </c>
      <c r="I38" s="62">
        <f t="shared" si="11"/>
        <v>0</v>
      </c>
      <c r="J38" s="62">
        <f t="shared" si="11"/>
        <v>0</v>
      </c>
      <c r="K38" s="116">
        <v>31059</v>
      </c>
      <c r="L38" s="116">
        <v>9549</v>
      </c>
      <c r="M38" s="18">
        <f t="shared" si="12"/>
        <v>461080</v>
      </c>
      <c r="N38" s="18">
        <f t="shared" si="12"/>
        <v>1723725</v>
      </c>
      <c r="O38" s="149"/>
      <c r="P38" s="149"/>
      <c r="Q38" s="18"/>
      <c r="R38" s="18"/>
      <c r="S38" s="19">
        <f t="shared" si="13"/>
        <v>0</v>
      </c>
      <c r="T38" s="18">
        <f t="shared" si="6"/>
        <v>40608</v>
      </c>
      <c r="U38" s="18">
        <f t="shared" si="3"/>
        <v>0</v>
      </c>
      <c r="V38" s="46">
        <f t="shared" si="7"/>
        <v>2184805</v>
      </c>
    </row>
    <row r="39" spans="1:22" ht="15" x14ac:dyDescent="0.25">
      <c r="A39" s="3">
        <f t="shared" si="8"/>
        <v>31</v>
      </c>
      <c r="B39" s="115">
        <f t="shared" si="4"/>
        <v>44897</v>
      </c>
      <c r="C39" s="116">
        <v>0</v>
      </c>
      <c r="D39" s="116">
        <v>0</v>
      </c>
      <c r="E39" s="62">
        <f t="shared" si="10"/>
        <v>0</v>
      </c>
      <c r="F39" s="62">
        <f t="shared" si="10"/>
        <v>0</v>
      </c>
      <c r="G39" s="155">
        <v>0</v>
      </c>
      <c r="H39" s="156">
        <v>0</v>
      </c>
      <c r="I39" s="62">
        <f t="shared" si="11"/>
        <v>0</v>
      </c>
      <c r="J39" s="62">
        <f t="shared" si="11"/>
        <v>0</v>
      </c>
      <c r="K39" s="116">
        <v>37205</v>
      </c>
      <c r="L39" s="116">
        <v>5596</v>
      </c>
      <c r="M39" s="18">
        <f t="shared" si="12"/>
        <v>498285</v>
      </c>
      <c r="N39" s="18">
        <f t="shared" si="12"/>
        <v>1729321</v>
      </c>
      <c r="O39" s="149"/>
      <c r="P39" s="149"/>
      <c r="Q39" s="18"/>
      <c r="R39" s="18"/>
      <c r="S39" s="19">
        <f t="shared" si="13"/>
        <v>0</v>
      </c>
      <c r="T39" s="18">
        <f t="shared" si="6"/>
        <v>42801</v>
      </c>
      <c r="U39" s="18">
        <f t="shared" si="3"/>
        <v>0</v>
      </c>
      <c r="V39" s="46">
        <f t="shared" si="7"/>
        <v>2227606</v>
      </c>
    </row>
    <row r="40" spans="1:22" ht="15" x14ac:dyDescent="0.25">
      <c r="A40" s="3">
        <f t="shared" si="8"/>
        <v>32</v>
      </c>
      <c r="B40" s="115">
        <f t="shared" si="4"/>
        <v>44904</v>
      </c>
      <c r="C40" s="116">
        <v>0</v>
      </c>
      <c r="D40" s="116">
        <v>0</v>
      </c>
      <c r="E40" s="62">
        <f t="shared" si="10"/>
        <v>0</v>
      </c>
      <c r="F40" s="62">
        <f t="shared" si="10"/>
        <v>0</v>
      </c>
      <c r="G40" s="155">
        <v>0</v>
      </c>
      <c r="H40" s="156">
        <v>0</v>
      </c>
      <c r="I40" s="62">
        <f t="shared" si="11"/>
        <v>0</v>
      </c>
      <c r="J40" s="62">
        <f t="shared" si="11"/>
        <v>0</v>
      </c>
      <c r="K40" s="116">
        <v>43605</v>
      </c>
      <c r="L40" s="116">
        <v>5015</v>
      </c>
      <c r="M40" s="18">
        <f t="shared" si="12"/>
        <v>541890</v>
      </c>
      <c r="N40" s="18">
        <f t="shared" si="12"/>
        <v>1734336</v>
      </c>
      <c r="O40" s="149"/>
      <c r="P40" s="149"/>
      <c r="Q40" s="18"/>
      <c r="R40" s="18"/>
      <c r="S40" s="19">
        <f t="shared" si="13"/>
        <v>0</v>
      </c>
      <c r="T40" s="18">
        <f t="shared" si="6"/>
        <v>48620</v>
      </c>
      <c r="U40" s="18">
        <f t="shared" si="3"/>
        <v>0</v>
      </c>
      <c r="V40" s="46">
        <f t="shared" si="7"/>
        <v>2276226</v>
      </c>
    </row>
    <row r="41" spans="1:22" ht="15" x14ac:dyDescent="0.25">
      <c r="A41" s="3">
        <f t="shared" si="8"/>
        <v>33</v>
      </c>
      <c r="B41" s="115">
        <f t="shared" si="4"/>
        <v>44911</v>
      </c>
      <c r="C41" s="116">
        <v>0</v>
      </c>
      <c r="D41" s="116">
        <v>0</v>
      </c>
      <c r="E41" s="62">
        <f t="shared" ref="E41:F47" si="14">+C41</f>
        <v>0</v>
      </c>
      <c r="F41" s="62">
        <f t="shared" si="14"/>
        <v>0</v>
      </c>
      <c r="G41" s="155">
        <v>0</v>
      </c>
      <c r="H41" s="156">
        <v>0</v>
      </c>
      <c r="I41" s="62">
        <f t="shared" ref="I41:J47" si="15">+G41</f>
        <v>0</v>
      </c>
      <c r="J41" s="62">
        <f t="shared" si="15"/>
        <v>0</v>
      </c>
      <c r="K41" s="116">
        <v>19799</v>
      </c>
      <c r="L41" s="116">
        <v>4857</v>
      </c>
      <c r="M41" s="18">
        <f t="shared" si="12"/>
        <v>561689</v>
      </c>
      <c r="N41" s="18">
        <f t="shared" si="12"/>
        <v>1739193</v>
      </c>
      <c r="O41" s="149"/>
      <c r="P41" s="149"/>
      <c r="Q41" s="18"/>
      <c r="R41" s="18"/>
      <c r="S41" s="19">
        <f t="shared" si="13"/>
        <v>0</v>
      </c>
      <c r="T41" s="18">
        <f t="shared" si="6"/>
        <v>24656</v>
      </c>
      <c r="U41" s="18">
        <f t="shared" si="3"/>
        <v>0</v>
      </c>
      <c r="V41" s="46">
        <f t="shared" si="7"/>
        <v>2300882</v>
      </c>
    </row>
    <row r="42" spans="1:22" ht="15" x14ac:dyDescent="0.25">
      <c r="A42" s="3">
        <f t="shared" si="8"/>
        <v>34</v>
      </c>
      <c r="B42" s="115">
        <f t="shared" si="4"/>
        <v>44918</v>
      </c>
      <c r="C42" s="116">
        <v>0</v>
      </c>
      <c r="D42" s="116">
        <v>0</v>
      </c>
      <c r="E42" s="62">
        <f t="shared" si="14"/>
        <v>0</v>
      </c>
      <c r="F42" s="62">
        <f t="shared" si="14"/>
        <v>0</v>
      </c>
      <c r="G42" s="155">
        <v>0</v>
      </c>
      <c r="H42" s="156">
        <v>0</v>
      </c>
      <c r="I42" s="62">
        <f t="shared" si="15"/>
        <v>0</v>
      </c>
      <c r="J42" s="62">
        <f t="shared" si="15"/>
        <v>0</v>
      </c>
      <c r="K42" s="116">
        <v>15695</v>
      </c>
      <c r="L42" s="116">
        <v>5202</v>
      </c>
      <c r="M42" s="18">
        <f t="shared" ref="M42:N57" si="16">M41+K42</f>
        <v>577384</v>
      </c>
      <c r="N42" s="18">
        <f t="shared" si="16"/>
        <v>1744395</v>
      </c>
      <c r="O42" s="149"/>
      <c r="P42" s="149"/>
      <c r="Q42" s="18"/>
      <c r="R42" s="18"/>
      <c r="S42" s="19">
        <f t="shared" si="13"/>
        <v>0</v>
      </c>
      <c r="T42" s="18">
        <f t="shared" si="6"/>
        <v>20897</v>
      </c>
      <c r="U42" s="18">
        <f t="shared" si="3"/>
        <v>0</v>
      </c>
      <c r="V42" s="46">
        <f t="shared" si="7"/>
        <v>2321779</v>
      </c>
    </row>
    <row r="43" spans="1:22" ht="15" x14ac:dyDescent="0.25">
      <c r="A43" s="3">
        <f t="shared" si="8"/>
        <v>35</v>
      </c>
      <c r="B43" s="115">
        <f t="shared" si="4"/>
        <v>44925</v>
      </c>
      <c r="C43" s="116">
        <v>0</v>
      </c>
      <c r="D43" s="116">
        <v>0</v>
      </c>
      <c r="E43" s="62">
        <f t="shared" si="14"/>
        <v>0</v>
      </c>
      <c r="F43" s="62">
        <f t="shared" si="14"/>
        <v>0</v>
      </c>
      <c r="G43" s="155">
        <v>0</v>
      </c>
      <c r="H43" s="156">
        <v>0</v>
      </c>
      <c r="I43" s="62">
        <f t="shared" si="15"/>
        <v>0</v>
      </c>
      <c r="J43" s="62">
        <f t="shared" si="15"/>
        <v>0</v>
      </c>
      <c r="K43" s="116">
        <v>35443</v>
      </c>
      <c r="L43" s="116">
        <v>3588</v>
      </c>
      <c r="M43" s="18">
        <f t="shared" si="16"/>
        <v>612827</v>
      </c>
      <c r="N43" s="18">
        <f t="shared" si="16"/>
        <v>1747983</v>
      </c>
      <c r="O43" s="149"/>
      <c r="P43" s="149"/>
      <c r="Q43" s="18"/>
      <c r="R43" s="18"/>
      <c r="S43" s="19">
        <f t="shared" si="13"/>
        <v>0</v>
      </c>
      <c r="T43" s="18">
        <f t="shared" si="6"/>
        <v>39031</v>
      </c>
      <c r="U43" s="18">
        <f t="shared" si="3"/>
        <v>0</v>
      </c>
      <c r="V43" s="46">
        <f t="shared" si="7"/>
        <v>2360810</v>
      </c>
    </row>
    <row r="44" spans="1:22" ht="15" x14ac:dyDescent="0.25">
      <c r="A44" s="3">
        <f t="shared" si="8"/>
        <v>36</v>
      </c>
      <c r="B44" s="115">
        <f t="shared" si="4"/>
        <v>44932</v>
      </c>
      <c r="C44" s="116">
        <v>0</v>
      </c>
      <c r="D44" s="116">
        <v>0</v>
      </c>
      <c r="E44" s="62">
        <f t="shared" si="14"/>
        <v>0</v>
      </c>
      <c r="F44" s="62">
        <f t="shared" si="14"/>
        <v>0</v>
      </c>
      <c r="G44" s="155">
        <v>0</v>
      </c>
      <c r="H44" s="156">
        <v>0</v>
      </c>
      <c r="I44" s="62">
        <f t="shared" si="15"/>
        <v>0</v>
      </c>
      <c r="J44" s="62">
        <f t="shared" si="15"/>
        <v>0</v>
      </c>
      <c r="K44" s="116">
        <v>40574</v>
      </c>
      <c r="L44" s="116">
        <v>4305</v>
      </c>
      <c r="M44" s="18">
        <f t="shared" si="16"/>
        <v>653401</v>
      </c>
      <c r="N44" s="18">
        <f t="shared" si="16"/>
        <v>1752288</v>
      </c>
      <c r="O44" s="149"/>
      <c r="P44" s="149"/>
      <c r="Q44" s="18"/>
      <c r="R44" s="18"/>
      <c r="S44" s="19">
        <f t="shared" si="13"/>
        <v>0</v>
      </c>
      <c r="T44" s="18">
        <f t="shared" si="6"/>
        <v>44879</v>
      </c>
      <c r="U44" s="18">
        <f t="shared" si="3"/>
        <v>0</v>
      </c>
      <c r="V44" s="46">
        <f t="shared" si="7"/>
        <v>2405689</v>
      </c>
    </row>
    <row r="45" spans="1:22" ht="15" x14ac:dyDescent="0.25">
      <c r="A45" s="3">
        <f t="shared" si="8"/>
        <v>37</v>
      </c>
      <c r="B45" s="115">
        <f t="shared" si="4"/>
        <v>44939</v>
      </c>
      <c r="C45" s="116">
        <v>0</v>
      </c>
      <c r="D45" s="116">
        <v>0</v>
      </c>
      <c r="E45" s="62">
        <f t="shared" si="14"/>
        <v>0</v>
      </c>
      <c r="F45" s="62">
        <f t="shared" si="14"/>
        <v>0</v>
      </c>
      <c r="G45" s="155">
        <v>0</v>
      </c>
      <c r="H45" s="156">
        <v>0</v>
      </c>
      <c r="I45" s="62">
        <f t="shared" si="15"/>
        <v>0</v>
      </c>
      <c r="J45" s="62">
        <f t="shared" si="15"/>
        <v>0</v>
      </c>
      <c r="K45" s="116">
        <v>51868</v>
      </c>
      <c r="L45" s="116">
        <v>6400</v>
      </c>
      <c r="M45" s="18">
        <f t="shared" si="16"/>
        <v>705269</v>
      </c>
      <c r="N45" s="18">
        <f t="shared" si="16"/>
        <v>1758688</v>
      </c>
      <c r="O45" s="149"/>
      <c r="P45" s="149"/>
      <c r="Q45" s="18"/>
      <c r="R45" s="18"/>
      <c r="S45" s="19">
        <f t="shared" si="13"/>
        <v>0</v>
      </c>
      <c r="T45" s="18">
        <f t="shared" si="6"/>
        <v>58268</v>
      </c>
      <c r="U45" s="18">
        <f t="shared" si="3"/>
        <v>0</v>
      </c>
      <c r="V45" s="46">
        <f t="shared" si="7"/>
        <v>2463957</v>
      </c>
    </row>
    <row r="46" spans="1:22" ht="15" x14ac:dyDescent="0.25">
      <c r="A46" s="3">
        <f t="shared" si="8"/>
        <v>38</v>
      </c>
      <c r="B46" s="115">
        <f t="shared" si="4"/>
        <v>44946</v>
      </c>
      <c r="C46" s="116">
        <v>0</v>
      </c>
      <c r="D46" s="116">
        <v>0</v>
      </c>
      <c r="E46" s="62">
        <f t="shared" si="14"/>
        <v>0</v>
      </c>
      <c r="F46" s="62">
        <f t="shared" si="14"/>
        <v>0</v>
      </c>
      <c r="G46" s="155">
        <v>0</v>
      </c>
      <c r="H46" s="156">
        <v>0</v>
      </c>
      <c r="I46" s="62">
        <f t="shared" si="15"/>
        <v>0</v>
      </c>
      <c r="J46" s="62">
        <f t="shared" si="15"/>
        <v>0</v>
      </c>
      <c r="K46" s="116">
        <v>34150</v>
      </c>
      <c r="L46" s="116">
        <v>5704</v>
      </c>
      <c r="M46" s="18">
        <f t="shared" si="16"/>
        <v>739419</v>
      </c>
      <c r="N46" s="18">
        <f t="shared" si="16"/>
        <v>1764392</v>
      </c>
      <c r="O46" s="149"/>
      <c r="P46" s="149"/>
      <c r="Q46" s="18"/>
      <c r="R46" s="18"/>
      <c r="S46" s="19">
        <f t="shared" si="13"/>
        <v>0</v>
      </c>
      <c r="T46" s="18">
        <f t="shared" si="6"/>
        <v>39854</v>
      </c>
      <c r="U46" s="18">
        <f t="shared" si="3"/>
        <v>0</v>
      </c>
      <c r="V46" s="46">
        <f t="shared" si="7"/>
        <v>2503811</v>
      </c>
    </row>
    <row r="47" spans="1:22" ht="15" x14ac:dyDescent="0.25">
      <c r="A47" s="3">
        <f t="shared" si="8"/>
        <v>39</v>
      </c>
      <c r="B47" s="115">
        <f t="shared" si="4"/>
        <v>44953</v>
      </c>
      <c r="C47" s="116">
        <v>0</v>
      </c>
      <c r="D47" s="116">
        <v>0</v>
      </c>
      <c r="E47" s="62">
        <f t="shared" si="14"/>
        <v>0</v>
      </c>
      <c r="F47" s="62">
        <f t="shared" si="14"/>
        <v>0</v>
      </c>
      <c r="G47" s="155">
        <v>0</v>
      </c>
      <c r="H47" s="156">
        <v>0</v>
      </c>
      <c r="I47" s="62">
        <f t="shared" si="15"/>
        <v>0</v>
      </c>
      <c r="J47" s="62">
        <f t="shared" si="15"/>
        <v>0</v>
      </c>
      <c r="K47" s="116">
        <v>70019</v>
      </c>
      <c r="L47" s="116">
        <v>5218</v>
      </c>
      <c r="M47" s="18">
        <f t="shared" si="16"/>
        <v>809438</v>
      </c>
      <c r="N47" s="18">
        <f t="shared" si="16"/>
        <v>1769610</v>
      </c>
      <c r="O47" s="149"/>
      <c r="P47" s="149"/>
      <c r="Q47" s="18"/>
      <c r="R47" s="18"/>
      <c r="S47" s="19">
        <f t="shared" si="13"/>
        <v>0</v>
      </c>
      <c r="T47" s="18">
        <f t="shared" si="6"/>
        <v>75237</v>
      </c>
      <c r="U47" s="18">
        <f t="shared" si="3"/>
        <v>0</v>
      </c>
      <c r="V47" s="46">
        <f t="shared" si="7"/>
        <v>2579048</v>
      </c>
    </row>
    <row r="48" spans="1:22" ht="15" x14ac:dyDescent="0.25">
      <c r="A48" s="3">
        <f t="shared" si="8"/>
        <v>40</v>
      </c>
      <c r="B48" s="115">
        <f t="shared" si="4"/>
        <v>44960</v>
      </c>
      <c r="C48" s="116">
        <v>0</v>
      </c>
      <c r="D48" s="116">
        <v>0</v>
      </c>
      <c r="E48" s="62">
        <f>+C48</f>
        <v>0</v>
      </c>
      <c r="F48" s="62">
        <f>+D48</f>
        <v>0</v>
      </c>
      <c r="G48" s="155">
        <v>0</v>
      </c>
      <c r="H48" s="156">
        <v>0</v>
      </c>
      <c r="I48" s="62">
        <f>+G48</f>
        <v>0</v>
      </c>
      <c r="J48" s="62">
        <f>+H48</f>
        <v>0</v>
      </c>
      <c r="K48" s="116">
        <v>53603</v>
      </c>
      <c r="L48" s="95">
        <v>5635</v>
      </c>
      <c r="M48" s="18">
        <f t="shared" si="16"/>
        <v>863041</v>
      </c>
      <c r="N48" s="18">
        <f t="shared" si="16"/>
        <v>1775245</v>
      </c>
      <c r="O48" s="149"/>
      <c r="P48" s="149"/>
      <c r="Q48" s="18"/>
      <c r="R48" s="18"/>
      <c r="S48" s="19">
        <f t="shared" si="13"/>
        <v>0</v>
      </c>
      <c r="T48" s="18">
        <f t="shared" si="6"/>
        <v>59238</v>
      </c>
      <c r="U48" s="18">
        <f t="shared" si="3"/>
        <v>0</v>
      </c>
      <c r="V48" s="46">
        <f t="shared" si="7"/>
        <v>2638286</v>
      </c>
    </row>
    <row r="49" spans="1:22" ht="15" x14ac:dyDescent="0.25">
      <c r="A49" s="3">
        <f t="shared" si="8"/>
        <v>41</v>
      </c>
      <c r="B49" s="115">
        <f t="shared" si="4"/>
        <v>44967</v>
      </c>
      <c r="C49" s="116">
        <v>0</v>
      </c>
      <c r="D49" s="116">
        <v>0</v>
      </c>
      <c r="E49" s="62">
        <f>+C49</f>
        <v>0</v>
      </c>
      <c r="F49" s="62">
        <f>+D49</f>
        <v>0</v>
      </c>
      <c r="G49" s="155">
        <v>0</v>
      </c>
      <c r="H49" s="156">
        <v>0</v>
      </c>
      <c r="I49" s="62">
        <f>+G49</f>
        <v>0</v>
      </c>
      <c r="J49" s="62">
        <f>+H49</f>
        <v>0</v>
      </c>
      <c r="K49" s="116">
        <v>14563</v>
      </c>
      <c r="L49" s="95">
        <v>5853</v>
      </c>
      <c r="M49" s="18">
        <f t="shared" si="16"/>
        <v>877604</v>
      </c>
      <c r="N49" s="18">
        <f t="shared" si="16"/>
        <v>1781098</v>
      </c>
      <c r="O49" s="149"/>
      <c r="P49" s="149"/>
      <c r="Q49" s="18"/>
      <c r="R49" s="18"/>
      <c r="S49" s="19">
        <f t="shared" si="13"/>
        <v>0</v>
      </c>
      <c r="T49" s="18">
        <f t="shared" si="6"/>
        <v>20416</v>
      </c>
      <c r="U49" s="18">
        <f t="shared" si="3"/>
        <v>0</v>
      </c>
      <c r="V49" s="46">
        <f t="shared" si="7"/>
        <v>2658702</v>
      </c>
    </row>
    <row r="50" spans="1:22" ht="15" x14ac:dyDescent="0.25">
      <c r="A50" s="3">
        <f t="shared" si="8"/>
        <v>42</v>
      </c>
      <c r="B50" s="115">
        <f t="shared" si="4"/>
        <v>44974</v>
      </c>
      <c r="C50" s="116">
        <v>0</v>
      </c>
      <c r="D50" s="116">
        <v>0</v>
      </c>
      <c r="E50" s="62">
        <f t="shared" ref="E50:F59" si="17">+C50</f>
        <v>0</v>
      </c>
      <c r="F50" s="62">
        <f t="shared" si="17"/>
        <v>0</v>
      </c>
      <c r="G50" s="155">
        <v>0</v>
      </c>
      <c r="H50" s="156">
        <v>0</v>
      </c>
      <c r="I50" s="62">
        <f t="shared" ref="I50:J59" si="18">+G50</f>
        <v>0</v>
      </c>
      <c r="J50" s="62">
        <f t="shared" si="18"/>
        <v>0</v>
      </c>
      <c r="K50" s="116">
        <v>45006</v>
      </c>
      <c r="L50" s="95">
        <v>6033</v>
      </c>
      <c r="M50" s="18">
        <f t="shared" si="16"/>
        <v>922610</v>
      </c>
      <c r="N50" s="18">
        <f t="shared" si="16"/>
        <v>1787131</v>
      </c>
      <c r="O50" s="149"/>
      <c r="P50" s="149"/>
      <c r="Q50" s="18"/>
      <c r="R50" s="18"/>
      <c r="S50" s="19">
        <f t="shared" si="13"/>
        <v>0</v>
      </c>
      <c r="T50" s="18">
        <f t="shared" si="6"/>
        <v>51039</v>
      </c>
      <c r="U50" s="18">
        <f t="shared" si="3"/>
        <v>0</v>
      </c>
      <c r="V50" s="46">
        <f t="shared" si="7"/>
        <v>2709741</v>
      </c>
    </row>
    <row r="51" spans="1:22" ht="15" x14ac:dyDescent="0.25">
      <c r="A51" s="3">
        <f t="shared" si="8"/>
        <v>43</v>
      </c>
      <c r="B51" s="115">
        <f t="shared" si="4"/>
        <v>44981</v>
      </c>
      <c r="C51" s="116">
        <v>0</v>
      </c>
      <c r="D51" s="116">
        <v>0</v>
      </c>
      <c r="E51" s="62">
        <f t="shared" si="17"/>
        <v>0</v>
      </c>
      <c r="F51" s="62">
        <f t="shared" si="17"/>
        <v>0</v>
      </c>
      <c r="G51" s="155">
        <v>0</v>
      </c>
      <c r="H51" s="156">
        <v>0</v>
      </c>
      <c r="I51" s="62">
        <f t="shared" si="18"/>
        <v>0</v>
      </c>
      <c r="J51" s="62">
        <f t="shared" si="18"/>
        <v>0</v>
      </c>
      <c r="K51" s="116">
        <v>67446</v>
      </c>
      <c r="L51" s="95">
        <v>53723</v>
      </c>
      <c r="M51" s="18">
        <f t="shared" si="16"/>
        <v>990056</v>
      </c>
      <c r="N51" s="18">
        <f t="shared" si="16"/>
        <v>1840854</v>
      </c>
      <c r="O51" s="149"/>
      <c r="P51" s="149"/>
      <c r="Q51" s="18"/>
      <c r="R51" s="18"/>
      <c r="S51" s="19">
        <f t="shared" si="13"/>
        <v>0</v>
      </c>
      <c r="T51" s="18">
        <f t="shared" si="6"/>
        <v>121169</v>
      </c>
      <c r="U51" s="18">
        <f t="shared" si="3"/>
        <v>0</v>
      </c>
      <c r="V51" s="46">
        <f t="shared" si="7"/>
        <v>2830910</v>
      </c>
    </row>
    <row r="52" spans="1:22" ht="15" x14ac:dyDescent="0.25">
      <c r="A52" s="3">
        <f t="shared" si="8"/>
        <v>44</v>
      </c>
      <c r="B52" s="115">
        <f t="shared" si="4"/>
        <v>44988</v>
      </c>
      <c r="C52" s="116">
        <v>0</v>
      </c>
      <c r="D52" s="116">
        <v>0</v>
      </c>
      <c r="E52" s="62">
        <f t="shared" si="17"/>
        <v>0</v>
      </c>
      <c r="F52" s="62">
        <f t="shared" si="17"/>
        <v>0</v>
      </c>
      <c r="G52" s="155">
        <v>0</v>
      </c>
      <c r="H52" s="156">
        <v>0</v>
      </c>
      <c r="I52" s="62">
        <f t="shared" si="18"/>
        <v>0</v>
      </c>
      <c r="J52" s="62">
        <f t="shared" si="18"/>
        <v>0</v>
      </c>
      <c r="K52" s="152">
        <v>102209</v>
      </c>
      <c r="L52" s="95">
        <v>7114</v>
      </c>
      <c r="M52" s="18">
        <f t="shared" si="16"/>
        <v>1092265</v>
      </c>
      <c r="N52" s="18">
        <f t="shared" si="16"/>
        <v>1847968</v>
      </c>
      <c r="O52" s="149"/>
      <c r="P52" s="149"/>
      <c r="Q52" s="18"/>
      <c r="R52" s="18"/>
      <c r="S52" s="19">
        <f t="shared" si="13"/>
        <v>0</v>
      </c>
      <c r="T52" s="18">
        <f t="shared" si="6"/>
        <v>109323</v>
      </c>
      <c r="U52" s="18">
        <f t="shared" si="3"/>
        <v>0</v>
      </c>
      <c r="V52" s="46">
        <f t="shared" si="7"/>
        <v>2940233</v>
      </c>
    </row>
    <row r="53" spans="1:22" ht="15" x14ac:dyDescent="0.25">
      <c r="A53" s="3">
        <f t="shared" si="8"/>
        <v>45</v>
      </c>
      <c r="B53" s="115">
        <f t="shared" si="4"/>
        <v>44995</v>
      </c>
      <c r="C53" s="116">
        <v>0</v>
      </c>
      <c r="D53" s="116">
        <v>0</v>
      </c>
      <c r="E53" s="62">
        <f t="shared" si="17"/>
        <v>0</v>
      </c>
      <c r="F53" s="62">
        <f t="shared" si="17"/>
        <v>0</v>
      </c>
      <c r="G53" s="155">
        <v>0</v>
      </c>
      <c r="H53" s="156">
        <v>0</v>
      </c>
      <c r="I53" s="62">
        <f t="shared" si="18"/>
        <v>0</v>
      </c>
      <c r="J53" s="62">
        <f t="shared" si="18"/>
        <v>0</v>
      </c>
      <c r="K53" s="152">
        <v>91823</v>
      </c>
      <c r="L53" s="95">
        <v>4456</v>
      </c>
      <c r="M53" s="18">
        <f t="shared" si="16"/>
        <v>1184088</v>
      </c>
      <c r="N53" s="18">
        <f t="shared" si="16"/>
        <v>1852424</v>
      </c>
      <c r="O53" s="149"/>
      <c r="P53" s="149"/>
      <c r="Q53" s="18"/>
      <c r="R53" s="18"/>
      <c r="S53" s="19">
        <f t="shared" si="13"/>
        <v>0</v>
      </c>
      <c r="T53" s="18">
        <f t="shared" si="6"/>
        <v>96279</v>
      </c>
      <c r="U53" s="18">
        <f t="shared" si="3"/>
        <v>0</v>
      </c>
      <c r="V53" s="46">
        <f t="shared" si="7"/>
        <v>3036512</v>
      </c>
    </row>
    <row r="54" spans="1:22" ht="15" x14ac:dyDescent="0.25">
      <c r="A54" s="3">
        <f t="shared" si="8"/>
        <v>46</v>
      </c>
      <c r="B54" s="115">
        <f t="shared" si="4"/>
        <v>45002</v>
      </c>
      <c r="C54" s="116">
        <v>0</v>
      </c>
      <c r="D54" s="116">
        <v>0</v>
      </c>
      <c r="E54" s="62">
        <f t="shared" si="17"/>
        <v>0</v>
      </c>
      <c r="F54" s="62">
        <f t="shared" si="17"/>
        <v>0</v>
      </c>
      <c r="G54" s="155">
        <v>0</v>
      </c>
      <c r="H54" s="156">
        <v>0</v>
      </c>
      <c r="I54" s="62">
        <f t="shared" si="18"/>
        <v>0</v>
      </c>
      <c r="J54" s="62">
        <f t="shared" si="18"/>
        <v>0</v>
      </c>
      <c r="K54" s="152">
        <v>74823</v>
      </c>
      <c r="L54" s="95">
        <v>4882</v>
      </c>
      <c r="M54" s="18">
        <f t="shared" si="16"/>
        <v>1258911</v>
      </c>
      <c r="N54" s="18">
        <f t="shared" si="16"/>
        <v>1857306</v>
      </c>
      <c r="O54" s="149"/>
      <c r="P54" s="149"/>
      <c r="Q54" s="18"/>
      <c r="R54" s="18"/>
      <c r="S54" s="19">
        <f t="shared" si="13"/>
        <v>0</v>
      </c>
      <c r="T54" s="18">
        <f t="shared" si="6"/>
        <v>79705</v>
      </c>
      <c r="U54" s="18">
        <f t="shared" si="3"/>
        <v>0</v>
      </c>
      <c r="V54" s="46">
        <f t="shared" si="7"/>
        <v>3116217</v>
      </c>
    </row>
    <row r="55" spans="1:22" ht="15" x14ac:dyDescent="0.25">
      <c r="A55" s="3">
        <f t="shared" si="8"/>
        <v>47</v>
      </c>
      <c r="B55" s="115">
        <f t="shared" si="4"/>
        <v>45009</v>
      </c>
      <c r="C55" s="116">
        <v>0</v>
      </c>
      <c r="D55" s="116">
        <v>0</v>
      </c>
      <c r="E55" s="62">
        <f t="shared" si="17"/>
        <v>0</v>
      </c>
      <c r="F55" s="62">
        <f t="shared" si="17"/>
        <v>0</v>
      </c>
      <c r="G55" s="155">
        <v>0</v>
      </c>
      <c r="H55" s="156">
        <v>0</v>
      </c>
      <c r="I55" s="62">
        <f t="shared" si="18"/>
        <v>0</v>
      </c>
      <c r="J55" s="62">
        <f t="shared" si="18"/>
        <v>0</v>
      </c>
      <c r="K55" s="152">
        <v>37357</v>
      </c>
      <c r="L55" s="95">
        <v>3089</v>
      </c>
      <c r="M55" s="18">
        <f t="shared" si="16"/>
        <v>1296268</v>
      </c>
      <c r="N55" s="18">
        <f t="shared" si="16"/>
        <v>1860395</v>
      </c>
      <c r="O55" s="149"/>
      <c r="P55" s="149"/>
      <c r="Q55" s="18"/>
      <c r="R55" s="18"/>
      <c r="S55" s="19">
        <f t="shared" si="13"/>
        <v>0</v>
      </c>
      <c r="T55" s="18">
        <f t="shared" si="6"/>
        <v>40446</v>
      </c>
      <c r="U55" s="18">
        <f t="shared" si="3"/>
        <v>0</v>
      </c>
      <c r="V55" s="46">
        <f t="shared" si="7"/>
        <v>3156663</v>
      </c>
    </row>
    <row r="56" spans="1:22" ht="15" x14ac:dyDescent="0.25">
      <c r="A56" s="3">
        <f t="shared" si="8"/>
        <v>48</v>
      </c>
      <c r="B56" s="115">
        <f t="shared" si="4"/>
        <v>45016</v>
      </c>
      <c r="C56" s="116">
        <v>0</v>
      </c>
      <c r="D56" s="116">
        <v>0</v>
      </c>
      <c r="E56" s="62">
        <f t="shared" si="17"/>
        <v>0</v>
      </c>
      <c r="F56" s="62">
        <f t="shared" si="17"/>
        <v>0</v>
      </c>
      <c r="G56" s="155">
        <v>0</v>
      </c>
      <c r="H56" s="156">
        <v>0</v>
      </c>
      <c r="I56" s="62">
        <f t="shared" si="18"/>
        <v>0</v>
      </c>
      <c r="J56" s="62">
        <f t="shared" si="18"/>
        <v>0</v>
      </c>
      <c r="K56" s="152">
        <v>102490</v>
      </c>
      <c r="L56" s="95">
        <v>10867</v>
      </c>
      <c r="M56" s="18">
        <f t="shared" si="16"/>
        <v>1398758</v>
      </c>
      <c r="N56" s="18">
        <f t="shared" si="16"/>
        <v>1871262</v>
      </c>
      <c r="O56" s="149"/>
      <c r="P56" s="149"/>
      <c r="Q56" s="18"/>
      <c r="R56" s="18"/>
      <c r="S56" s="19">
        <f t="shared" si="13"/>
        <v>0</v>
      </c>
      <c r="T56" s="18">
        <f t="shared" si="6"/>
        <v>113357</v>
      </c>
      <c r="U56" s="18">
        <f t="shared" si="3"/>
        <v>0</v>
      </c>
      <c r="V56" s="46">
        <f t="shared" si="7"/>
        <v>3270020</v>
      </c>
    </row>
    <row r="57" spans="1:22" ht="15" x14ac:dyDescent="0.25">
      <c r="A57" s="3">
        <f t="shared" si="8"/>
        <v>49</v>
      </c>
      <c r="B57" s="115">
        <f t="shared" si="4"/>
        <v>45023</v>
      </c>
      <c r="C57" s="116">
        <v>0</v>
      </c>
      <c r="D57" s="116">
        <v>0</v>
      </c>
      <c r="E57" s="62">
        <f t="shared" si="17"/>
        <v>0</v>
      </c>
      <c r="F57" s="62">
        <f t="shared" si="17"/>
        <v>0</v>
      </c>
      <c r="G57" s="155">
        <v>0</v>
      </c>
      <c r="H57" s="156">
        <v>0</v>
      </c>
      <c r="I57" s="62">
        <f t="shared" si="18"/>
        <v>0</v>
      </c>
      <c r="J57" s="62">
        <f t="shared" si="18"/>
        <v>0</v>
      </c>
      <c r="K57" s="152">
        <v>39460</v>
      </c>
      <c r="L57" s="95">
        <v>79895</v>
      </c>
      <c r="M57" s="18">
        <f t="shared" si="16"/>
        <v>1438218</v>
      </c>
      <c r="N57" s="18">
        <f t="shared" si="16"/>
        <v>1951157</v>
      </c>
      <c r="O57" s="149"/>
      <c r="P57" s="149"/>
      <c r="Q57" s="18"/>
      <c r="R57" s="18"/>
      <c r="S57" s="19">
        <f t="shared" si="13"/>
        <v>0</v>
      </c>
      <c r="T57" s="18">
        <f>K57+L57</f>
        <v>119355</v>
      </c>
      <c r="U57" s="18">
        <f t="shared" si="3"/>
        <v>0</v>
      </c>
      <c r="V57" s="46">
        <f t="shared" si="7"/>
        <v>3389375</v>
      </c>
    </row>
    <row r="58" spans="1:22" ht="15" x14ac:dyDescent="0.25">
      <c r="A58" s="3">
        <f t="shared" si="8"/>
        <v>50</v>
      </c>
      <c r="B58" s="115">
        <f t="shared" si="4"/>
        <v>45030</v>
      </c>
      <c r="C58" s="116">
        <v>0</v>
      </c>
      <c r="D58" s="116">
        <v>0</v>
      </c>
      <c r="E58" s="62">
        <f t="shared" si="17"/>
        <v>0</v>
      </c>
      <c r="F58" s="62">
        <f t="shared" si="17"/>
        <v>0</v>
      </c>
      <c r="G58" s="155">
        <v>0</v>
      </c>
      <c r="H58" s="156">
        <v>0</v>
      </c>
      <c r="I58" s="62">
        <f t="shared" si="18"/>
        <v>0</v>
      </c>
      <c r="J58" s="62">
        <f t="shared" si="18"/>
        <v>0</v>
      </c>
      <c r="K58" s="152">
        <v>14064</v>
      </c>
      <c r="L58" s="95">
        <v>32099</v>
      </c>
      <c r="M58" s="18">
        <f t="shared" ref="M58:N60" si="19">M57+K58</f>
        <v>1452282</v>
      </c>
      <c r="N58" s="18">
        <f t="shared" si="19"/>
        <v>1983256</v>
      </c>
      <c r="O58" s="149"/>
      <c r="P58" s="149"/>
      <c r="Q58" s="18"/>
      <c r="R58" s="18"/>
      <c r="S58" s="19">
        <f t="shared" si="13"/>
        <v>0</v>
      </c>
      <c r="T58" s="18">
        <f t="shared" si="6"/>
        <v>46163</v>
      </c>
      <c r="U58" s="18">
        <f t="shared" si="3"/>
        <v>0</v>
      </c>
      <c r="V58" s="46">
        <f t="shared" si="7"/>
        <v>3435538</v>
      </c>
    </row>
    <row r="59" spans="1:22" ht="15" x14ac:dyDescent="0.25">
      <c r="A59" s="3">
        <f t="shared" si="8"/>
        <v>51</v>
      </c>
      <c r="B59" s="115">
        <f t="shared" si="4"/>
        <v>45037</v>
      </c>
      <c r="C59" s="116">
        <v>0</v>
      </c>
      <c r="D59" s="116">
        <v>0</v>
      </c>
      <c r="E59" s="62">
        <f t="shared" si="17"/>
        <v>0</v>
      </c>
      <c r="F59" s="62">
        <f t="shared" si="17"/>
        <v>0</v>
      </c>
      <c r="G59" s="155">
        <v>0</v>
      </c>
      <c r="H59" s="156">
        <v>0</v>
      </c>
      <c r="I59" s="62">
        <f t="shared" si="18"/>
        <v>0</v>
      </c>
      <c r="J59" s="62">
        <f t="shared" si="18"/>
        <v>0</v>
      </c>
      <c r="K59" s="152">
        <v>20700</v>
      </c>
      <c r="L59" s="95">
        <v>106309</v>
      </c>
      <c r="M59" s="18">
        <f t="shared" si="19"/>
        <v>1472982</v>
      </c>
      <c r="N59" s="18">
        <f t="shared" si="19"/>
        <v>2089565</v>
      </c>
      <c r="O59" s="149"/>
      <c r="P59" s="149"/>
      <c r="Q59" s="18"/>
      <c r="R59" s="18"/>
      <c r="S59" s="19">
        <f t="shared" si="13"/>
        <v>0</v>
      </c>
      <c r="T59" s="18">
        <f t="shared" si="6"/>
        <v>127009</v>
      </c>
      <c r="U59" s="18">
        <f t="shared" si="3"/>
        <v>0</v>
      </c>
      <c r="V59" s="46">
        <f t="shared" si="7"/>
        <v>3562547</v>
      </c>
    </row>
    <row r="60" spans="1:22" ht="15" x14ac:dyDescent="0.25">
      <c r="A60" s="3">
        <f t="shared" si="8"/>
        <v>52</v>
      </c>
      <c r="B60" s="115">
        <f t="shared" si="4"/>
        <v>45044</v>
      </c>
      <c r="C60" s="116">
        <v>0</v>
      </c>
      <c r="D60" s="116">
        <v>0</v>
      </c>
      <c r="E60" s="62">
        <f>E59+C60</f>
        <v>0</v>
      </c>
      <c r="F60" s="62">
        <f>F59+D60</f>
        <v>0</v>
      </c>
      <c r="G60" s="155">
        <v>0</v>
      </c>
      <c r="H60" s="156">
        <v>0</v>
      </c>
      <c r="I60" s="62">
        <f>+G60</f>
        <v>0</v>
      </c>
      <c r="J60" s="62">
        <f>+H60</f>
        <v>0</v>
      </c>
      <c r="K60" s="152">
        <v>17794</v>
      </c>
      <c r="L60" s="95">
        <v>63181</v>
      </c>
      <c r="M60" s="18">
        <f t="shared" si="19"/>
        <v>1490776</v>
      </c>
      <c r="N60" s="18">
        <f t="shared" si="19"/>
        <v>2152746</v>
      </c>
      <c r="O60" s="149"/>
      <c r="P60" s="149"/>
      <c r="Q60" s="18"/>
      <c r="R60" s="18"/>
      <c r="S60" s="19">
        <f t="shared" si="13"/>
        <v>0</v>
      </c>
      <c r="T60" s="18">
        <f t="shared" si="6"/>
        <v>80975</v>
      </c>
      <c r="U60" s="18">
        <f t="shared" si="3"/>
        <v>0</v>
      </c>
      <c r="V60" s="46">
        <f t="shared" si="7"/>
        <v>3643522</v>
      </c>
    </row>
    <row r="61" spans="1:22" ht="15.75" thickBot="1" x14ac:dyDescent="0.3">
      <c r="A61" s="3">
        <f t="shared" si="8"/>
        <v>53</v>
      </c>
      <c r="B61" s="167"/>
      <c r="C61" s="172">
        <v>0</v>
      </c>
      <c r="D61" s="172">
        <v>0</v>
      </c>
      <c r="E61" s="173">
        <f>E60+C61</f>
        <v>0</v>
      </c>
      <c r="F61" s="60">
        <f>F60+D61</f>
        <v>0</v>
      </c>
      <c r="G61" s="162">
        <v>0</v>
      </c>
      <c r="H61" s="163">
        <v>0</v>
      </c>
      <c r="I61" s="60">
        <f>+G61</f>
        <v>0</v>
      </c>
      <c r="J61" s="174">
        <f>+H61</f>
        <v>0</v>
      </c>
      <c r="K61" s="175"/>
      <c r="L61" s="168"/>
      <c r="M61" s="49">
        <f>M60+K61</f>
        <v>1490776</v>
      </c>
      <c r="N61" s="49">
        <f>N60+L61</f>
        <v>2152746</v>
      </c>
      <c r="O61" s="151"/>
      <c r="P61" s="151"/>
      <c r="Q61" s="49"/>
      <c r="R61" s="49"/>
      <c r="S61" s="47">
        <f>C61+D61</f>
        <v>0</v>
      </c>
      <c r="T61" s="49">
        <f>K61+L61</f>
        <v>0</v>
      </c>
      <c r="U61" s="49">
        <f>E61+F61</f>
        <v>0</v>
      </c>
      <c r="V61" s="48">
        <f>M61+N61</f>
        <v>3643522</v>
      </c>
    </row>
    <row r="62" spans="1:22" x14ac:dyDescent="0.2">
      <c r="B62" s="45"/>
      <c r="E62" s="63"/>
      <c r="F62" s="63"/>
      <c r="G62" s="63"/>
      <c r="H62" s="63"/>
      <c r="I62" s="63"/>
      <c r="J62" s="63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x14ac:dyDescent="0.2">
      <c r="B63" s="45"/>
    </row>
    <row r="64" spans="1:22" x14ac:dyDescent="0.2">
      <c r="B64" s="45"/>
    </row>
    <row r="65" spans="2:11" x14ac:dyDescent="0.2">
      <c r="B65" s="45"/>
    </row>
    <row r="66" spans="2:11" x14ac:dyDescent="0.2">
      <c r="B66" s="45"/>
    </row>
    <row r="67" spans="2:11" x14ac:dyDescent="0.2">
      <c r="B67" s="45"/>
    </row>
    <row r="68" spans="2:11" x14ac:dyDescent="0.2">
      <c r="B68" s="45"/>
    </row>
    <row r="69" spans="2:11" x14ac:dyDescent="0.2">
      <c r="B69" s="45"/>
      <c r="K69" s="67"/>
    </row>
    <row r="70" spans="2:11" x14ac:dyDescent="0.2">
      <c r="B70" s="45"/>
    </row>
    <row r="71" spans="2:11" x14ac:dyDescent="0.2">
      <c r="B71" s="45"/>
    </row>
    <row r="72" spans="2:11" x14ac:dyDescent="0.2">
      <c r="B72" s="45"/>
    </row>
    <row r="73" spans="2:11" x14ac:dyDescent="0.2">
      <c r="B73" s="45"/>
    </row>
    <row r="74" spans="2:11" x14ac:dyDescent="0.2">
      <c r="B74" s="45"/>
    </row>
    <row r="75" spans="2:11" x14ac:dyDescent="0.2">
      <c r="B75" s="45"/>
    </row>
    <row r="76" spans="2:11" x14ac:dyDescent="0.2">
      <c r="B76" s="45"/>
    </row>
    <row r="77" spans="2:11" x14ac:dyDescent="0.2">
      <c r="B77" s="45"/>
    </row>
    <row r="78" spans="2:11" x14ac:dyDescent="0.2">
      <c r="B78" s="20"/>
    </row>
    <row r="79" spans="2:11" x14ac:dyDescent="0.2">
      <c r="B79" s="20"/>
    </row>
    <row r="80" spans="2:11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  <row r="3381" spans="2:2" x14ac:dyDescent="0.2">
      <c r="B3381" s="20"/>
    </row>
    <row r="3382" spans="2:2" x14ac:dyDescent="0.2">
      <c r="B3382" s="20"/>
    </row>
    <row r="3383" spans="2:2" x14ac:dyDescent="0.2">
      <c r="B3383" s="20"/>
    </row>
    <row r="3384" spans="2:2" x14ac:dyDescent="0.2">
      <c r="B3384" s="20"/>
    </row>
    <row r="3385" spans="2:2" x14ac:dyDescent="0.2">
      <c r="B3385" s="20"/>
    </row>
    <row r="3386" spans="2:2" x14ac:dyDescent="0.2">
      <c r="B3386" s="20"/>
    </row>
    <row r="3387" spans="2:2" x14ac:dyDescent="0.2">
      <c r="B3387" s="20"/>
    </row>
    <row r="3388" spans="2:2" x14ac:dyDescent="0.2">
      <c r="B3388" s="20"/>
    </row>
    <row r="3389" spans="2:2" x14ac:dyDescent="0.2">
      <c r="B3389" s="20"/>
    </row>
    <row r="3390" spans="2:2" x14ac:dyDescent="0.2">
      <c r="B3390" s="20"/>
    </row>
    <row r="3391" spans="2:2" x14ac:dyDescent="0.2">
      <c r="B3391" s="20"/>
    </row>
    <row r="3392" spans="2:2" x14ac:dyDescent="0.2">
      <c r="B3392" s="20"/>
    </row>
    <row r="3393" spans="2:2" x14ac:dyDescent="0.2">
      <c r="B3393" s="20"/>
    </row>
    <row r="3394" spans="2:2" x14ac:dyDescent="0.2">
      <c r="B3394" s="20"/>
    </row>
    <row r="3395" spans="2:2" x14ac:dyDescent="0.2">
      <c r="B3395" s="20"/>
    </row>
    <row r="3396" spans="2:2" x14ac:dyDescent="0.2">
      <c r="B3396" s="20"/>
    </row>
    <row r="3397" spans="2:2" x14ac:dyDescent="0.2">
      <c r="B3397" s="20"/>
    </row>
    <row r="3398" spans="2:2" x14ac:dyDescent="0.2">
      <c r="B3398" s="20"/>
    </row>
    <row r="3399" spans="2:2" x14ac:dyDescent="0.2">
      <c r="B3399" s="20"/>
    </row>
    <row r="3400" spans="2:2" x14ac:dyDescent="0.2">
      <c r="B3400" s="20"/>
    </row>
    <row r="3401" spans="2:2" x14ac:dyDescent="0.2">
      <c r="B3401" s="20"/>
    </row>
    <row r="3402" spans="2:2" x14ac:dyDescent="0.2">
      <c r="B3402" s="20"/>
    </row>
    <row r="3403" spans="2:2" x14ac:dyDescent="0.2">
      <c r="B3403" s="20"/>
    </row>
    <row r="3404" spans="2:2" x14ac:dyDescent="0.2">
      <c r="B3404" s="20"/>
    </row>
    <row r="3405" spans="2:2" x14ac:dyDescent="0.2">
      <c r="B3405" s="20"/>
    </row>
    <row r="3406" spans="2:2" x14ac:dyDescent="0.2">
      <c r="B3406" s="20"/>
    </row>
    <row r="3407" spans="2:2" x14ac:dyDescent="0.2">
      <c r="B3407" s="20"/>
    </row>
    <row r="3408" spans="2:2" x14ac:dyDescent="0.2">
      <c r="B3408" s="20"/>
    </row>
    <row r="3409" spans="2:2" x14ac:dyDescent="0.2">
      <c r="B3409" s="20"/>
    </row>
    <row r="3410" spans="2:2" x14ac:dyDescent="0.2">
      <c r="B3410" s="20"/>
    </row>
    <row r="3411" spans="2:2" x14ac:dyDescent="0.2">
      <c r="B3411" s="20"/>
    </row>
    <row r="3412" spans="2:2" x14ac:dyDescent="0.2">
      <c r="B3412" s="20"/>
    </row>
    <row r="3413" spans="2:2" x14ac:dyDescent="0.2">
      <c r="B3413" s="20"/>
    </row>
    <row r="3414" spans="2:2" x14ac:dyDescent="0.2">
      <c r="B3414" s="20"/>
    </row>
    <row r="3415" spans="2:2" x14ac:dyDescent="0.2">
      <c r="B3415" s="20"/>
    </row>
    <row r="3416" spans="2:2" x14ac:dyDescent="0.2">
      <c r="B3416" s="20"/>
    </row>
    <row r="3417" spans="2:2" x14ac:dyDescent="0.2">
      <c r="B3417" s="20"/>
    </row>
    <row r="3418" spans="2:2" x14ac:dyDescent="0.2">
      <c r="B3418" s="20"/>
    </row>
    <row r="3419" spans="2:2" x14ac:dyDescent="0.2">
      <c r="B3419" s="20"/>
    </row>
    <row r="3420" spans="2:2" x14ac:dyDescent="0.2">
      <c r="B3420" s="20"/>
    </row>
    <row r="3421" spans="2:2" x14ac:dyDescent="0.2">
      <c r="B3421" s="20"/>
    </row>
    <row r="3422" spans="2:2" x14ac:dyDescent="0.2">
      <c r="B3422" s="20"/>
    </row>
    <row r="3423" spans="2:2" x14ac:dyDescent="0.2">
      <c r="B3423" s="20"/>
    </row>
    <row r="3424" spans="2:2" x14ac:dyDescent="0.2">
      <c r="B3424" s="20"/>
    </row>
    <row r="3425" spans="2:2" x14ac:dyDescent="0.2">
      <c r="B3425" s="20"/>
    </row>
    <row r="3426" spans="2:2" x14ac:dyDescent="0.2">
      <c r="B3426" s="20"/>
    </row>
    <row r="3427" spans="2:2" x14ac:dyDescent="0.2">
      <c r="B3427" s="20"/>
    </row>
    <row r="3428" spans="2:2" x14ac:dyDescent="0.2">
      <c r="B3428" s="20"/>
    </row>
    <row r="3429" spans="2:2" x14ac:dyDescent="0.2">
      <c r="B3429" s="20"/>
    </row>
    <row r="3430" spans="2:2" x14ac:dyDescent="0.2">
      <c r="B3430" s="20"/>
    </row>
    <row r="3431" spans="2:2" x14ac:dyDescent="0.2">
      <c r="B3431" s="20"/>
    </row>
    <row r="3432" spans="2:2" x14ac:dyDescent="0.2">
      <c r="B3432" s="20"/>
    </row>
    <row r="3433" spans="2:2" x14ac:dyDescent="0.2">
      <c r="B3433" s="20"/>
    </row>
    <row r="3434" spans="2:2" x14ac:dyDescent="0.2">
      <c r="B3434" s="20"/>
    </row>
    <row r="3435" spans="2:2" x14ac:dyDescent="0.2">
      <c r="B3435" s="20"/>
    </row>
    <row r="3436" spans="2:2" x14ac:dyDescent="0.2">
      <c r="B3436" s="20"/>
    </row>
    <row r="3437" spans="2:2" x14ac:dyDescent="0.2">
      <c r="B3437" s="20"/>
    </row>
    <row r="3438" spans="2:2" x14ac:dyDescent="0.2">
      <c r="B3438" s="20"/>
    </row>
    <row r="3439" spans="2:2" x14ac:dyDescent="0.2">
      <c r="B3439" s="20"/>
    </row>
    <row r="3440" spans="2:2" x14ac:dyDescent="0.2">
      <c r="B3440" s="20"/>
    </row>
    <row r="3441" spans="2:2" x14ac:dyDescent="0.2">
      <c r="B3441" s="20"/>
    </row>
    <row r="3442" spans="2:2" x14ac:dyDescent="0.2">
      <c r="B3442" s="20"/>
    </row>
    <row r="3443" spans="2:2" x14ac:dyDescent="0.2">
      <c r="B3443" s="20"/>
    </row>
    <row r="3444" spans="2:2" x14ac:dyDescent="0.2">
      <c r="B3444" s="20"/>
    </row>
    <row r="3445" spans="2:2" x14ac:dyDescent="0.2">
      <c r="B3445" s="20"/>
    </row>
    <row r="3446" spans="2:2" x14ac:dyDescent="0.2">
      <c r="B3446" s="20"/>
    </row>
    <row r="3447" spans="2:2" x14ac:dyDescent="0.2">
      <c r="B3447" s="20"/>
    </row>
    <row r="3448" spans="2:2" x14ac:dyDescent="0.2">
      <c r="B3448" s="20"/>
    </row>
    <row r="3449" spans="2:2" x14ac:dyDescent="0.2">
      <c r="B3449" s="20"/>
    </row>
    <row r="3450" spans="2:2" x14ac:dyDescent="0.2">
      <c r="B3450" s="20"/>
    </row>
    <row r="3451" spans="2:2" x14ac:dyDescent="0.2">
      <c r="B3451" s="20"/>
    </row>
    <row r="3452" spans="2:2" x14ac:dyDescent="0.2">
      <c r="B3452" s="20"/>
    </row>
    <row r="3453" spans="2:2" x14ac:dyDescent="0.2">
      <c r="B3453" s="20"/>
    </row>
    <row r="3454" spans="2:2" x14ac:dyDescent="0.2">
      <c r="B3454" s="20"/>
    </row>
    <row r="3455" spans="2:2" x14ac:dyDescent="0.2">
      <c r="B3455" s="20"/>
    </row>
    <row r="3456" spans="2:2" x14ac:dyDescent="0.2">
      <c r="B3456" s="20"/>
    </row>
    <row r="3457" spans="2:2" x14ac:dyDescent="0.2">
      <c r="B3457" s="20"/>
    </row>
    <row r="3458" spans="2:2" x14ac:dyDescent="0.2">
      <c r="B3458" s="20"/>
    </row>
    <row r="3459" spans="2:2" x14ac:dyDescent="0.2">
      <c r="B3459" s="20"/>
    </row>
    <row r="3460" spans="2:2" x14ac:dyDescent="0.2">
      <c r="B3460" s="20"/>
    </row>
    <row r="3461" spans="2:2" x14ac:dyDescent="0.2">
      <c r="B3461" s="20"/>
    </row>
    <row r="3462" spans="2:2" x14ac:dyDescent="0.2">
      <c r="B3462" s="20"/>
    </row>
    <row r="3463" spans="2:2" x14ac:dyDescent="0.2">
      <c r="B3463" s="20"/>
    </row>
    <row r="3464" spans="2:2" x14ac:dyDescent="0.2">
      <c r="B3464" s="20"/>
    </row>
    <row r="3465" spans="2:2" x14ac:dyDescent="0.2">
      <c r="B3465" s="20"/>
    </row>
    <row r="3466" spans="2:2" x14ac:dyDescent="0.2">
      <c r="B3466" s="20"/>
    </row>
    <row r="3467" spans="2:2" x14ac:dyDescent="0.2">
      <c r="B3467" s="20"/>
    </row>
    <row r="3468" spans="2:2" x14ac:dyDescent="0.2">
      <c r="B3468" s="20"/>
    </row>
    <row r="3469" spans="2:2" x14ac:dyDescent="0.2">
      <c r="B3469" s="20"/>
    </row>
    <row r="3470" spans="2:2" x14ac:dyDescent="0.2">
      <c r="B3470" s="20"/>
    </row>
    <row r="3471" spans="2:2" x14ac:dyDescent="0.2">
      <c r="B3471" s="20"/>
    </row>
    <row r="3472" spans="2:2" x14ac:dyDescent="0.2">
      <c r="B3472" s="20"/>
    </row>
    <row r="3473" spans="2:2" x14ac:dyDescent="0.2">
      <c r="B3473" s="20"/>
    </row>
    <row r="3474" spans="2:2" x14ac:dyDescent="0.2">
      <c r="B3474" s="20"/>
    </row>
    <row r="3475" spans="2:2" x14ac:dyDescent="0.2">
      <c r="B3475" s="20"/>
    </row>
    <row r="3476" spans="2:2" x14ac:dyDescent="0.2">
      <c r="B3476" s="20"/>
    </row>
    <row r="3477" spans="2:2" x14ac:dyDescent="0.2">
      <c r="B3477" s="20"/>
    </row>
    <row r="3478" spans="2:2" x14ac:dyDescent="0.2">
      <c r="B3478" s="20"/>
    </row>
    <row r="3479" spans="2:2" x14ac:dyDescent="0.2">
      <c r="B3479" s="20"/>
    </row>
    <row r="3480" spans="2:2" x14ac:dyDescent="0.2">
      <c r="B3480" s="20"/>
    </row>
    <row r="3481" spans="2:2" x14ac:dyDescent="0.2">
      <c r="B3481" s="20"/>
    </row>
    <row r="3482" spans="2:2" x14ac:dyDescent="0.2">
      <c r="B3482" s="20"/>
    </row>
    <row r="3483" spans="2:2" x14ac:dyDescent="0.2">
      <c r="B3483" s="20"/>
    </row>
    <row r="3484" spans="2:2" x14ac:dyDescent="0.2">
      <c r="B3484" s="20"/>
    </row>
    <row r="3485" spans="2:2" x14ac:dyDescent="0.2">
      <c r="B3485" s="20"/>
    </row>
    <row r="3486" spans="2:2" x14ac:dyDescent="0.2">
      <c r="B3486" s="20"/>
    </row>
    <row r="3487" spans="2:2" x14ac:dyDescent="0.2">
      <c r="B3487" s="20"/>
    </row>
    <row r="3488" spans="2:2" x14ac:dyDescent="0.2">
      <c r="B3488" s="20"/>
    </row>
    <row r="3489" spans="2:2" x14ac:dyDescent="0.2">
      <c r="B3489" s="20"/>
    </row>
    <row r="3490" spans="2:2" x14ac:dyDescent="0.2">
      <c r="B3490" s="20"/>
    </row>
    <row r="3491" spans="2:2" x14ac:dyDescent="0.2">
      <c r="B3491" s="20"/>
    </row>
    <row r="3492" spans="2:2" x14ac:dyDescent="0.2">
      <c r="B3492" s="20"/>
    </row>
    <row r="3493" spans="2:2" x14ac:dyDescent="0.2">
      <c r="B3493" s="20"/>
    </row>
    <row r="3494" spans="2:2" x14ac:dyDescent="0.2">
      <c r="B3494" s="20"/>
    </row>
    <row r="3495" spans="2:2" x14ac:dyDescent="0.2">
      <c r="B3495" s="20"/>
    </row>
    <row r="3496" spans="2:2" x14ac:dyDescent="0.2">
      <c r="B3496" s="20"/>
    </row>
    <row r="3497" spans="2:2" x14ac:dyDescent="0.2">
      <c r="B3497" s="20"/>
    </row>
    <row r="3498" spans="2:2" x14ac:dyDescent="0.2">
      <c r="B3498" s="20"/>
    </row>
    <row r="3499" spans="2:2" x14ac:dyDescent="0.2">
      <c r="B3499" s="20"/>
    </row>
    <row r="3500" spans="2:2" x14ac:dyDescent="0.2">
      <c r="B3500" s="20"/>
    </row>
    <row r="3501" spans="2:2" x14ac:dyDescent="0.2">
      <c r="B3501" s="20"/>
    </row>
    <row r="3502" spans="2:2" x14ac:dyDescent="0.2">
      <c r="B3502" s="20"/>
    </row>
    <row r="3503" spans="2:2" x14ac:dyDescent="0.2">
      <c r="B3503" s="20"/>
    </row>
    <row r="3504" spans="2:2" x14ac:dyDescent="0.2">
      <c r="B3504" s="20"/>
    </row>
    <row r="3505" spans="2:2" x14ac:dyDescent="0.2">
      <c r="B3505" s="20"/>
    </row>
    <row r="3506" spans="2:2" x14ac:dyDescent="0.2">
      <c r="B3506" s="20"/>
    </row>
    <row r="3507" spans="2:2" x14ac:dyDescent="0.2">
      <c r="B3507" s="20"/>
    </row>
    <row r="3508" spans="2:2" x14ac:dyDescent="0.2">
      <c r="B3508" s="20"/>
    </row>
    <row r="3509" spans="2:2" x14ac:dyDescent="0.2">
      <c r="B3509" s="20"/>
    </row>
    <row r="3510" spans="2:2" x14ac:dyDescent="0.2">
      <c r="B3510" s="20"/>
    </row>
    <row r="3511" spans="2:2" x14ac:dyDescent="0.2">
      <c r="B3511" s="20"/>
    </row>
    <row r="3512" spans="2:2" x14ac:dyDescent="0.2">
      <c r="B3512" s="20"/>
    </row>
    <row r="3513" spans="2:2" x14ac:dyDescent="0.2">
      <c r="B3513" s="20"/>
    </row>
    <row r="3514" spans="2:2" x14ac:dyDescent="0.2">
      <c r="B3514" s="20"/>
    </row>
    <row r="3515" spans="2:2" x14ac:dyDescent="0.2">
      <c r="B3515" s="20"/>
    </row>
    <row r="3516" spans="2:2" x14ac:dyDescent="0.2">
      <c r="B3516" s="20"/>
    </row>
    <row r="3517" spans="2:2" x14ac:dyDescent="0.2">
      <c r="B3517" s="20"/>
    </row>
    <row r="3518" spans="2:2" x14ac:dyDescent="0.2">
      <c r="B3518" s="20"/>
    </row>
    <row r="3519" spans="2:2" x14ac:dyDescent="0.2">
      <c r="B3519" s="20"/>
    </row>
    <row r="3520" spans="2:2" x14ac:dyDescent="0.2">
      <c r="B3520" s="20"/>
    </row>
    <row r="3521" spans="2:2" x14ac:dyDescent="0.2">
      <c r="B3521" s="20"/>
    </row>
    <row r="3522" spans="2:2" x14ac:dyDescent="0.2">
      <c r="B3522" s="20"/>
    </row>
    <row r="3523" spans="2:2" x14ac:dyDescent="0.2">
      <c r="B3523" s="20"/>
    </row>
    <row r="3524" spans="2:2" x14ac:dyDescent="0.2">
      <c r="B3524" s="20"/>
    </row>
    <row r="3525" spans="2:2" x14ac:dyDescent="0.2">
      <c r="B3525" s="20"/>
    </row>
    <row r="3526" spans="2:2" x14ac:dyDescent="0.2">
      <c r="B3526" s="20"/>
    </row>
    <row r="3527" spans="2:2" x14ac:dyDescent="0.2">
      <c r="B3527" s="20"/>
    </row>
    <row r="3528" spans="2:2" x14ac:dyDescent="0.2">
      <c r="B3528" s="20"/>
    </row>
    <row r="3529" spans="2:2" x14ac:dyDescent="0.2">
      <c r="B3529" s="20"/>
    </row>
    <row r="3530" spans="2:2" x14ac:dyDescent="0.2">
      <c r="B3530" s="20"/>
    </row>
    <row r="3531" spans="2:2" x14ac:dyDescent="0.2">
      <c r="B3531" s="20"/>
    </row>
    <row r="3532" spans="2:2" x14ac:dyDescent="0.2">
      <c r="B3532" s="20"/>
    </row>
    <row r="3533" spans="2:2" x14ac:dyDescent="0.2">
      <c r="B3533" s="20"/>
    </row>
    <row r="3534" spans="2:2" x14ac:dyDescent="0.2">
      <c r="B3534" s="20"/>
    </row>
    <row r="3535" spans="2:2" x14ac:dyDescent="0.2">
      <c r="B3535" s="20"/>
    </row>
    <row r="3536" spans="2:2" x14ac:dyDescent="0.2">
      <c r="B3536" s="20"/>
    </row>
    <row r="3537" spans="2:2" x14ac:dyDescent="0.2">
      <c r="B3537" s="20"/>
    </row>
    <row r="3538" spans="2:2" x14ac:dyDescent="0.2">
      <c r="B3538" s="20"/>
    </row>
    <row r="3539" spans="2:2" x14ac:dyDescent="0.2">
      <c r="B3539" s="20"/>
    </row>
    <row r="3540" spans="2:2" x14ac:dyDescent="0.2">
      <c r="B3540" s="20"/>
    </row>
    <row r="3541" spans="2:2" x14ac:dyDescent="0.2">
      <c r="B3541" s="20"/>
    </row>
    <row r="3542" spans="2:2" x14ac:dyDescent="0.2">
      <c r="B3542" s="20"/>
    </row>
    <row r="3543" spans="2:2" x14ac:dyDescent="0.2">
      <c r="B3543" s="20"/>
    </row>
    <row r="3544" spans="2:2" x14ac:dyDescent="0.2">
      <c r="B3544" s="20"/>
    </row>
    <row r="3545" spans="2:2" x14ac:dyDescent="0.2">
      <c r="B3545" s="20"/>
    </row>
    <row r="3546" spans="2:2" x14ac:dyDescent="0.2">
      <c r="B3546" s="20"/>
    </row>
    <row r="3547" spans="2:2" x14ac:dyDescent="0.2">
      <c r="B3547" s="20"/>
    </row>
    <row r="3548" spans="2:2" x14ac:dyDescent="0.2">
      <c r="B3548" s="20"/>
    </row>
    <row r="3549" spans="2:2" x14ac:dyDescent="0.2">
      <c r="B3549" s="20"/>
    </row>
    <row r="3550" spans="2:2" x14ac:dyDescent="0.2">
      <c r="B3550" s="20"/>
    </row>
    <row r="3551" spans="2:2" x14ac:dyDescent="0.2">
      <c r="B3551" s="20"/>
    </row>
    <row r="3552" spans="2:2" x14ac:dyDescent="0.2">
      <c r="B3552" s="20"/>
    </row>
    <row r="3553" spans="2:2" x14ac:dyDescent="0.2">
      <c r="B3553" s="20"/>
    </row>
    <row r="3554" spans="2:2" x14ac:dyDescent="0.2">
      <c r="B3554" s="20"/>
    </row>
    <row r="3555" spans="2:2" x14ac:dyDescent="0.2">
      <c r="B3555" s="20"/>
    </row>
    <row r="3556" spans="2:2" x14ac:dyDescent="0.2">
      <c r="B3556" s="20"/>
    </row>
    <row r="3557" spans="2:2" x14ac:dyDescent="0.2">
      <c r="B3557" s="20"/>
    </row>
    <row r="3558" spans="2:2" x14ac:dyDescent="0.2">
      <c r="B3558" s="20"/>
    </row>
    <row r="3559" spans="2:2" x14ac:dyDescent="0.2">
      <c r="B3559" s="20"/>
    </row>
    <row r="3560" spans="2:2" x14ac:dyDescent="0.2">
      <c r="B3560" s="20"/>
    </row>
    <row r="3561" spans="2:2" x14ac:dyDescent="0.2">
      <c r="B3561" s="20"/>
    </row>
    <row r="3562" spans="2:2" x14ac:dyDescent="0.2">
      <c r="B3562" s="20"/>
    </row>
    <row r="3563" spans="2:2" x14ac:dyDescent="0.2">
      <c r="B3563" s="20"/>
    </row>
    <row r="3564" spans="2:2" x14ac:dyDescent="0.2">
      <c r="B3564" s="20"/>
    </row>
    <row r="3565" spans="2:2" x14ac:dyDescent="0.2">
      <c r="B3565" s="20"/>
    </row>
    <row r="3566" spans="2:2" x14ac:dyDescent="0.2">
      <c r="B3566" s="20"/>
    </row>
    <row r="3567" spans="2:2" x14ac:dyDescent="0.2">
      <c r="B3567" s="20"/>
    </row>
    <row r="3568" spans="2:2" x14ac:dyDescent="0.2">
      <c r="B3568" s="20"/>
    </row>
    <row r="3569" spans="2:2" x14ac:dyDescent="0.2">
      <c r="B3569" s="20"/>
    </row>
    <row r="3570" spans="2:2" x14ac:dyDescent="0.2">
      <c r="B3570" s="20"/>
    </row>
    <row r="3571" spans="2:2" x14ac:dyDescent="0.2">
      <c r="B3571" s="20"/>
    </row>
    <row r="3572" spans="2:2" x14ac:dyDescent="0.2">
      <c r="B3572" s="20"/>
    </row>
    <row r="3573" spans="2:2" x14ac:dyDescent="0.2">
      <c r="B3573" s="20"/>
    </row>
    <row r="3574" spans="2:2" x14ac:dyDescent="0.2">
      <c r="B3574" s="20"/>
    </row>
    <row r="3575" spans="2:2" x14ac:dyDescent="0.2">
      <c r="B3575" s="20"/>
    </row>
    <row r="3576" spans="2:2" x14ac:dyDescent="0.2">
      <c r="B3576" s="20"/>
    </row>
    <row r="3577" spans="2:2" x14ac:dyDescent="0.2">
      <c r="B3577" s="20"/>
    </row>
    <row r="3578" spans="2:2" x14ac:dyDescent="0.2">
      <c r="B3578" s="20"/>
    </row>
    <row r="3579" spans="2:2" x14ac:dyDescent="0.2">
      <c r="B3579" s="20"/>
    </row>
    <row r="3580" spans="2:2" x14ac:dyDescent="0.2">
      <c r="B3580" s="20"/>
    </row>
    <row r="3581" spans="2:2" x14ac:dyDescent="0.2">
      <c r="B3581" s="20"/>
    </row>
    <row r="3582" spans="2:2" x14ac:dyDescent="0.2">
      <c r="B3582" s="20"/>
    </row>
    <row r="3583" spans="2:2" x14ac:dyDescent="0.2">
      <c r="B3583" s="20"/>
    </row>
    <row r="3584" spans="2:2" x14ac:dyDescent="0.2">
      <c r="B3584" s="20"/>
    </row>
    <row r="3585" spans="2:2" x14ac:dyDescent="0.2">
      <c r="B3585" s="20"/>
    </row>
    <row r="3586" spans="2:2" x14ac:dyDescent="0.2">
      <c r="B3586" s="20"/>
    </row>
    <row r="3587" spans="2:2" x14ac:dyDescent="0.2">
      <c r="B3587" s="20"/>
    </row>
    <row r="3588" spans="2:2" x14ac:dyDescent="0.2">
      <c r="B3588" s="20"/>
    </row>
    <row r="3589" spans="2:2" x14ac:dyDescent="0.2">
      <c r="B3589" s="20"/>
    </row>
    <row r="3590" spans="2:2" x14ac:dyDescent="0.2">
      <c r="B3590" s="20"/>
    </row>
    <row r="3591" spans="2:2" x14ac:dyDescent="0.2">
      <c r="B3591" s="20"/>
    </row>
    <row r="3592" spans="2:2" x14ac:dyDescent="0.2">
      <c r="B3592" s="20"/>
    </row>
    <row r="3593" spans="2:2" x14ac:dyDescent="0.2">
      <c r="B3593" s="20"/>
    </row>
    <row r="3594" spans="2:2" x14ac:dyDescent="0.2">
      <c r="B3594" s="20"/>
    </row>
    <row r="3595" spans="2:2" x14ac:dyDescent="0.2">
      <c r="B3595" s="20"/>
    </row>
    <row r="3596" spans="2:2" x14ac:dyDescent="0.2">
      <c r="B3596" s="20"/>
    </row>
    <row r="3597" spans="2:2" x14ac:dyDescent="0.2">
      <c r="B3597" s="20"/>
    </row>
    <row r="3598" spans="2:2" x14ac:dyDescent="0.2">
      <c r="B3598" s="20"/>
    </row>
    <row r="3599" spans="2:2" x14ac:dyDescent="0.2">
      <c r="B3599" s="20"/>
    </row>
    <row r="3600" spans="2:2" x14ac:dyDescent="0.2">
      <c r="B3600" s="20"/>
    </row>
    <row r="3601" spans="2:2" x14ac:dyDescent="0.2">
      <c r="B3601" s="20"/>
    </row>
    <row r="3602" spans="2:2" x14ac:dyDescent="0.2">
      <c r="B3602" s="20"/>
    </row>
    <row r="3603" spans="2:2" x14ac:dyDescent="0.2">
      <c r="B3603" s="20"/>
    </row>
    <row r="3604" spans="2:2" x14ac:dyDescent="0.2">
      <c r="B3604" s="20"/>
    </row>
    <row r="3605" spans="2:2" x14ac:dyDescent="0.2">
      <c r="B3605" s="20"/>
    </row>
    <row r="3606" spans="2:2" x14ac:dyDescent="0.2">
      <c r="B3606" s="20"/>
    </row>
    <row r="3607" spans="2:2" x14ac:dyDescent="0.2">
      <c r="B3607" s="20"/>
    </row>
    <row r="3608" spans="2:2" x14ac:dyDescent="0.2">
      <c r="B3608" s="20"/>
    </row>
    <row r="3609" spans="2:2" x14ac:dyDescent="0.2">
      <c r="B3609" s="20"/>
    </row>
    <row r="3610" spans="2:2" x14ac:dyDescent="0.2">
      <c r="B3610" s="20"/>
    </row>
    <row r="3611" spans="2:2" x14ac:dyDescent="0.2">
      <c r="B3611" s="20"/>
    </row>
    <row r="3612" spans="2:2" x14ac:dyDescent="0.2">
      <c r="B3612" s="20"/>
    </row>
    <row r="3613" spans="2:2" x14ac:dyDescent="0.2">
      <c r="B3613" s="20"/>
    </row>
    <row r="3614" spans="2:2" x14ac:dyDescent="0.2">
      <c r="B3614" s="20"/>
    </row>
    <row r="3615" spans="2:2" x14ac:dyDescent="0.2">
      <c r="B3615" s="20"/>
    </row>
    <row r="3616" spans="2:2" x14ac:dyDescent="0.2">
      <c r="B3616" s="20"/>
    </row>
    <row r="3617" spans="2:2" x14ac:dyDescent="0.2">
      <c r="B3617" s="20"/>
    </row>
    <row r="3618" spans="2:2" x14ac:dyDescent="0.2">
      <c r="B3618" s="20"/>
    </row>
    <row r="3619" spans="2:2" x14ac:dyDescent="0.2">
      <c r="B3619" s="20"/>
    </row>
    <row r="3620" spans="2:2" x14ac:dyDescent="0.2">
      <c r="B3620" s="20"/>
    </row>
    <row r="3621" spans="2:2" x14ac:dyDescent="0.2">
      <c r="B3621" s="20"/>
    </row>
    <row r="3622" spans="2:2" x14ac:dyDescent="0.2">
      <c r="B3622" s="20"/>
    </row>
    <row r="3623" spans="2:2" x14ac:dyDescent="0.2">
      <c r="B3623" s="20"/>
    </row>
    <row r="3624" spans="2:2" x14ac:dyDescent="0.2">
      <c r="B3624" s="20"/>
    </row>
    <row r="3625" spans="2:2" x14ac:dyDescent="0.2">
      <c r="B3625" s="20"/>
    </row>
    <row r="3626" spans="2:2" x14ac:dyDescent="0.2">
      <c r="B3626" s="20"/>
    </row>
    <row r="3627" spans="2:2" x14ac:dyDescent="0.2">
      <c r="B3627" s="20"/>
    </row>
    <row r="3628" spans="2:2" x14ac:dyDescent="0.2">
      <c r="B3628" s="20"/>
    </row>
    <row r="3629" spans="2:2" x14ac:dyDescent="0.2">
      <c r="B3629" s="20"/>
    </row>
    <row r="3630" spans="2:2" x14ac:dyDescent="0.2">
      <c r="B3630" s="20"/>
    </row>
    <row r="3631" spans="2:2" x14ac:dyDescent="0.2">
      <c r="B3631" s="20"/>
    </row>
    <row r="3632" spans="2:2" x14ac:dyDescent="0.2">
      <c r="B3632" s="20"/>
    </row>
    <row r="3633" spans="2:2" x14ac:dyDescent="0.2">
      <c r="B3633" s="20"/>
    </row>
    <row r="3634" spans="2:2" x14ac:dyDescent="0.2">
      <c r="B3634" s="20"/>
    </row>
    <row r="3635" spans="2:2" x14ac:dyDescent="0.2">
      <c r="B3635" s="20"/>
    </row>
    <row r="3636" spans="2:2" x14ac:dyDescent="0.2">
      <c r="B3636" s="20"/>
    </row>
    <row r="3637" spans="2:2" x14ac:dyDescent="0.2">
      <c r="B3637" s="20"/>
    </row>
    <row r="3638" spans="2:2" x14ac:dyDescent="0.2">
      <c r="B3638" s="20"/>
    </row>
    <row r="3639" spans="2:2" x14ac:dyDescent="0.2">
      <c r="B3639" s="20"/>
    </row>
    <row r="3640" spans="2:2" x14ac:dyDescent="0.2">
      <c r="B3640" s="20"/>
    </row>
    <row r="3641" spans="2:2" x14ac:dyDescent="0.2">
      <c r="B3641" s="20"/>
    </row>
    <row r="3642" spans="2:2" x14ac:dyDescent="0.2">
      <c r="B3642" s="20"/>
    </row>
    <row r="3643" spans="2:2" x14ac:dyDescent="0.2">
      <c r="B3643" s="20"/>
    </row>
    <row r="3644" spans="2:2" x14ac:dyDescent="0.2">
      <c r="B3644" s="20"/>
    </row>
    <row r="3645" spans="2:2" x14ac:dyDescent="0.2">
      <c r="B3645" s="20"/>
    </row>
    <row r="3646" spans="2:2" x14ac:dyDescent="0.2">
      <c r="B3646" s="20"/>
    </row>
    <row r="3647" spans="2:2" x14ac:dyDescent="0.2">
      <c r="B3647" s="20"/>
    </row>
    <row r="3648" spans="2:2" x14ac:dyDescent="0.2">
      <c r="B3648" s="20"/>
    </row>
    <row r="3649" spans="2:2" x14ac:dyDescent="0.2">
      <c r="B3649" s="20"/>
    </row>
    <row r="3650" spans="2:2" x14ac:dyDescent="0.2">
      <c r="B3650" s="20"/>
    </row>
    <row r="3651" spans="2:2" x14ac:dyDescent="0.2">
      <c r="B3651" s="20"/>
    </row>
    <row r="3652" spans="2:2" x14ac:dyDescent="0.2">
      <c r="B3652" s="20"/>
    </row>
    <row r="3653" spans="2:2" x14ac:dyDescent="0.2">
      <c r="B3653" s="20"/>
    </row>
    <row r="3654" spans="2:2" x14ac:dyDescent="0.2">
      <c r="B3654" s="20"/>
    </row>
    <row r="3655" spans="2:2" x14ac:dyDescent="0.2">
      <c r="B3655" s="20"/>
    </row>
    <row r="3656" spans="2:2" x14ac:dyDescent="0.2">
      <c r="B3656" s="20"/>
    </row>
    <row r="3657" spans="2:2" x14ac:dyDescent="0.2">
      <c r="B3657" s="20"/>
    </row>
    <row r="3658" spans="2:2" x14ac:dyDescent="0.2">
      <c r="B3658" s="20"/>
    </row>
    <row r="3659" spans="2:2" x14ac:dyDescent="0.2">
      <c r="B3659" s="20"/>
    </row>
    <row r="3660" spans="2:2" x14ac:dyDescent="0.2">
      <c r="B3660" s="20"/>
    </row>
    <row r="3661" spans="2:2" x14ac:dyDescent="0.2">
      <c r="B3661" s="20"/>
    </row>
    <row r="3662" spans="2:2" x14ac:dyDescent="0.2">
      <c r="B3662" s="20"/>
    </row>
    <row r="3663" spans="2:2" x14ac:dyDescent="0.2">
      <c r="B3663" s="20"/>
    </row>
    <row r="3664" spans="2:2" x14ac:dyDescent="0.2">
      <c r="B3664" s="20"/>
    </row>
    <row r="3665" spans="2:2" x14ac:dyDescent="0.2">
      <c r="B3665" s="20"/>
    </row>
    <row r="3666" spans="2:2" x14ac:dyDescent="0.2">
      <c r="B3666" s="20"/>
    </row>
    <row r="3667" spans="2:2" x14ac:dyDescent="0.2">
      <c r="B3667" s="20"/>
    </row>
    <row r="3668" spans="2:2" x14ac:dyDescent="0.2">
      <c r="B3668" s="20"/>
    </row>
    <row r="3669" spans="2:2" x14ac:dyDescent="0.2">
      <c r="B3669" s="20"/>
    </row>
    <row r="3670" spans="2:2" x14ac:dyDescent="0.2">
      <c r="B3670" s="20"/>
    </row>
    <row r="3671" spans="2:2" x14ac:dyDescent="0.2">
      <c r="B3671" s="20"/>
    </row>
    <row r="3672" spans="2:2" x14ac:dyDescent="0.2">
      <c r="B3672" s="20"/>
    </row>
    <row r="3673" spans="2:2" x14ac:dyDescent="0.2">
      <c r="B3673" s="20"/>
    </row>
    <row r="3674" spans="2:2" x14ac:dyDescent="0.2">
      <c r="B3674" s="20"/>
    </row>
    <row r="3675" spans="2:2" x14ac:dyDescent="0.2">
      <c r="B3675" s="20"/>
    </row>
    <row r="3676" spans="2:2" x14ac:dyDescent="0.2">
      <c r="B3676" s="20"/>
    </row>
    <row r="3677" spans="2:2" x14ac:dyDescent="0.2">
      <c r="B3677" s="20"/>
    </row>
    <row r="3678" spans="2:2" x14ac:dyDescent="0.2">
      <c r="B3678" s="20"/>
    </row>
    <row r="3679" spans="2:2" x14ac:dyDescent="0.2">
      <c r="B3679" s="20"/>
    </row>
    <row r="3680" spans="2:2" x14ac:dyDescent="0.2">
      <c r="B3680" s="20"/>
    </row>
    <row r="3681" spans="2:2" x14ac:dyDescent="0.2">
      <c r="B3681" s="20"/>
    </row>
    <row r="3682" spans="2:2" x14ac:dyDescent="0.2">
      <c r="B3682" s="20"/>
    </row>
    <row r="3683" spans="2:2" x14ac:dyDescent="0.2">
      <c r="B3683" s="20"/>
    </row>
    <row r="3684" spans="2:2" x14ac:dyDescent="0.2">
      <c r="B3684" s="20"/>
    </row>
    <row r="3685" spans="2:2" x14ac:dyDescent="0.2">
      <c r="B3685" s="20"/>
    </row>
    <row r="3686" spans="2:2" x14ac:dyDescent="0.2">
      <c r="B3686" s="20"/>
    </row>
    <row r="3687" spans="2:2" x14ac:dyDescent="0.2">
      <c r="B3687" s="20"/>
    </row>
    <row r="3688" spans="2:2" x14ac:dyDescent="0.2">
      <c r="B3688" s="20"/>
    </row>
    <row r="3689" spans="2:2" x14ac:dyDescent="0.2">
      <c r="B3689" s="20"/>
    </row>
    <row r="3690" spans="2:2" x14ac:dyDescent="0.2">
      <c r="B3690" s="20"/>
    </row>
    <row r="3691" spans="2:2" x14ac:dyDescent="0.2">
      <c r="B3691" s="20"/>
    </row>
    <row r="3692" spans="2:2" x14ac:dyDescent="0.2">
      <c r="B3692" s="20"/>
    </row>
    <row r="3693" spans="2:2" x14ac:dyDescent="0.2">
      <c r="B3693" s="20"/>
    </row>
    <row r="3694" spans="2:2" x14ac:dyDescent="0.2">
      <c r="B3694" s="20"/>
    </row>
    <row r="3695" spans="2:2" x14ac:dyDescent="0.2">
      <c r="B3695" s="20"/>
    </row>
    <row r="3696" spans="2:2" x14ac:dyDescent="0.2">
      <c r="B3696" s="20"/>
    </row>
    <row r="3697" spans="2:2" x14ac:dyDescent="0.2">
      <c r="B3697" s="20"/>
    </row>
    <row r="3698" spans="2:2" x14ac:dyDescent="0.2">
      <c r="B3698" s="20"/>
    </row>
    <row r="3699" spans="2:2" x14ac:dyDescent="0.2">
      <c r="B3699" s="20"/>
    </row>
    <row r="3700" spans="2:2" x14ac:dyDescent="0.2">
      <c r="B3700" s="20"/>
    </row>
    <row r="3701" spans="2:2" x14ac:dyDescent="0.2">
      <c r="B3701" s="20"/>
    </row>
    <row r="3702" spans="2:2" x14ac:dyDescent="0.2">
      <c r="B3702" s="20"/>
    </row>
    <row r="3703" spans="2:2" x14ac:dyDescent="0.2">
      <c r="B3703" s="20"/>
    </row>
    <row r="3704" spans="2:2" x14ac:dyDescent="0.2">
      <c r="B3704" s="20"/>
    </row>
    <row r="3705" spans="2:2" x14ac:dyDescent="0.2">
      <c r="B3705" s="20"/>
    </row>
    <row r="3706" spans="2:2" x14ac:dyDescent="0.2">
      <c r="B3706" s="20"/>
    </row>
    <row r="3707" spans="2:2" x14ac:dyDescent="0.2">
      <c r="B3707" s="20"/>
    </row>
    <row r="3708" spans="2:2" x14ac:dyDescent="0.2">
      <c r="B3708" s="20"/>
    </row>
    <row r="3709" spans="2:2" x14ac:dyDescent="0.2">
      <c r="B3709" s="20"/>
    </row>
    <row r="3710" spans="2:2" x14ac:dyDescent="0.2">
      <c r="B3710" s="20"/>
    </row>
    <row r="3711" spans="2:2" x14ac:dyDescent="0.2">
      <c r="B3711" s="20"/>
    </row>
    <row r="3712" spans="2:2" x14ac:dyDescent="0.2">
      <c r="B3712" s="20"/>
    </row>
    <row r="3713" spans="2:2" x14ac:dyDescent="0.2">
      <c r="B3713" s="20"/>
    </row>
    <row r="3714" spans="2:2" x14ac:dyDescent="0.2">
      <c r="B3714" s="20"/>
    </row>
    <row r="3715" spans="2:2" x14ac:dyDescent="0.2">
      <c r="B3715" s="20"/>
    </row>
    <row r="3716" spans="2:2" x14ac:dyDescent="0.2">
      <c r="B3716" s="20"/>
    </row>
    <row r="3717" spans="2:2" x14ac:dyDescent="0.2">
      <c r="B3717" s="20"/>
    </row>
    <row r="3718" spans="2:2" x14ac:dyDescent="0.2">
      <c r="B3718" s="20"/>
    </row>
    <row r="3719" spans="2:2" x14ac:dyDescent="0.2">
      <c r="B3719" s="20"/>
    </row>
    <row r="3720" spans="2:2" x14ac:dyDescent="0.2">
      <c r="B3720" s="20"/>
    </row>
    <row r="3721" spans="2:2" x14ac:dyDescent="0.2">
      <c r="B3721" s="20"/>
    </row>
    <row r="3722" spans="2:2" x14ac:dyDescent="0.2">
      <c r="B3722" s="20"/>
    </row>
    <row r="3723" spans="2:2" x14ac:dyDescent="0.2">
      <c r="B3723" s="20"/>
    </row>
    <row r="3724" spans="2:2" x14ac:dyDescent="0.2">
      <c r="B3724" s="20"/>
    </row>
    <row r="3725" spans="2:2" x14ac:dyDescent="0.2">
      <c r="B3725" s="20"/>
    </row>
    <row r="3726" spans="2:2" x14ac:dyDescent="0.2">
      <c r="B3726" s="20"/>
    </row>
    <row r="3727" spans="2:2" x14ac:dyDescent="0.2">
      <c r="B3727" s="20"/>
    </row>
    <row r="3728" spans="2:2" x14ac:dyDescent="0.2">
      <c r="B3728" s="20"/>
    </row>
    <row r="3729" spans="2:2" x14ac:dyDescent="0.2">
      <c r="B3729" s="20"/>
    </row>
    <row r="3730" spans="2:2" x14ac:dyDescent="0.2">
      <c r="B3730" s="20"/>
    </row>
    <row r="3731" spans="2:2" x14ac:dyDescent="0.2">
      <c r="B3731" s="20"/>
    </row>
    <row r="3732" spans="2:2" x14ac:dyDescent="0.2">
      <c r="B3732" s="20"/>
    </row>
    <row r="3733" spans="2:2" x14ac:dyDescent="0.2">
      <c r="B3733" s="20"/>
    </row>
    <row r="3734" spans="2:2" x14ac:dyDescent="0.2">
      <c r="B3734" s="20"/>
    </row>
    <row r="3735" spans="2:2" x14ac:dyDescent="0.2">
      <c r="B3735" s="20"/>
    </row>
    <row r="3736" spans="2:2" x14ac:dyDescent="0.2">
      <c r="B3736" s="20"/>
    </row>
    <row r="3737" spans="2:2" x14ac:dyDescent="0.2">
      <c r="B3737" s="20"/>
    </row>
    <row r="3738" spans="2:2" x14ac:dyDescent="0.2">
      <c r="B3738" s="20"/>
    </row>
    <row r="3739" spans="2:2" x14ac:dyDescent="0.2">
      <c r="B3739" s="20"/>
    </row>
    <row r="3740" spans="2:2" x14ac:dyDescent="0.2">
      <c r="B3740" s="20"/>
    </row>
    <row r="3741" spans="2:2" x14ac:dyDescent="0.2">
      <c r="B3741" s="20"/>
    </row>
    <row r="3742" spans="2:2" x14ac:dyDescent="0.2">
      <c r="B3742" s="20"/>
    </row>
    <row r="3743" spans="2:2" x14ac:dyDescent="0.2">
      <c r="B3743" s="20"/>
    </row>
    <row r="3744" spans="2:2" x14ac:dyDescent="0.2">
      <c r="B3744" s="20"/>
    </row>
    <row r="3745" spans="2:2" x14ac:dyDescent="0.2">
      <c r="B3745" s="20"/>
    </row>
    <row r="3746" spans="2:2" x14ac:dyDescent="0.2">
      <c r="B3746" s="20"/>
    </row>
    <row r="3747" spans="2:2" x14ac:dyDescent="0.2">
      <c r="B3747" s="20"/>
    </row>
    <row r="3748" spans="2:2" x14ac:dyDescent="0.2">
      <c r="B3748" s="20"/>
    </row>
    <row r="3749" spans="2:2" x14ac:dyDescent="0.2">
      <c r="B3749" s="20"/>
    </row>
    <row r="3750" spans="2:2" x14ac:dyDescent="0.2">
      <c r="B3750" s="20"/>
    </row>
    <row r="3751" spans="2:2" x14ac:dyDescent="0.2">
      <c r="B3751" s="20"/>
    </row>
    <row r="3752" spans="2:2" x14ac:dyDescent="0.2">
      <c r="B3752" s="20"/>
    </row>
    <row r="3753" spans="2:2" x14ac:dyDescent="0.2">
      <c r="B3753" s="20"/>
    </row>
    <row r="3754" spans="2:2" x14ac:dyDescent="0.2">
      <c r="B3754" s="20"/>
    </row>
    <row r="3755" spans="2:2" x14ac:dyDescent="0.2">
      <c r="B3755" s="20"/>
    </row>
    <row r="3756" spans="2:2" x14ac:dyDescent="0.2">
      <c r="B3756" s="20"/>
    </row>
    <row r="3757" spans="2:2" x14ac:dyDescent="0.2">
      <c r="B3757" s="20"/>
    </row>
    <row r="3758" spans="2:2" x14ac:dyDescent="0.2">
      <c r="B3758" s="20"/>
    </row>
    <row r="3759" spans="2:2" x14ac:dyDescent="0.2">
      <c r="B3759" s="20"/>
    </row>
    <row r="3760" spans="2:2" x14ac:dyDescent="0.2">
      <c r="B3760" s="20"/>
    </row>
    <row r="3761" spans="2:2" x14ac:dyDescent="0.2">
      <c r="B3761" s="20"/>
    </row>
    <row r="3762" spans="2:2" x14ac:dyDescent="0.2">
      <c r="B3762" s="20"/>
    </row>
    <row r="3763" spans="2:2" x14ac:dyDescent="0.2">
      <c r="B3763" s="20"/>
    </row>
    <row r="3764" spans="2:2" x14ac:dyDescent="0.2">
      <c r="B3764" s="20"/>
    </row>
    <row r="3765" spans="2:2" x14ac:dyDescent="0.2">
      <c r="B3765" s="20"/>
    </row>
    <row r="3766" spans="2:2" x14ac:dyDescent="0.2">
      <c r="B3766" s="20"/>
    </row>
    <row r="3767" spans="2:2" x14ac:dyDescent="0.2">
      <c r="B3767" s="20"/>
    </row>
    <row r="3768" spans="2:2" x14ac:dyDescent="0.2">
      <c r="B3768" s="20"/>
    </row>
    <row r="3769" spans="2:2" x14ac:dyDescent="0.2">
      <c r="B3769" s="20"/>
    </row>
    <row r="3770" spans="2:2" x14ac:dyDescent="0.2">
      <c r="B3770" s="20"/>
    </row>
    <row r="3771" spans="2:2" x14ac:dyDescent="0.2">
      <c r="B3771" s="20"/>
    </row>
    <row r="3772" spans="2:2" x14ac:dyDescent="0.2">
      <c r="B3772" s="20"/>
    </row>
    <row r="3773" spans="2:2" x14ac:dyDescent="0.2">
      <c r="B3773" s="20"/>
    </row>
    <row r="3774" spans="2:2" x14ac:dyDescent="0.2">
      <c r="B3774" s="20"/>
    </row>
    <row r="3775" spans="2:2" x14ac:dyDescent="0.2">
      <c r="B3775" s="20"/>
    </row>
    <row r="3776" spans="2:2" x14ac:dyDescent="0.2">
      <c r="B3776" s="20"/>
    </row>
    <row r="3777" spans="2:2" x14ac:dyDescent="0.2">
      <c r="B3777" s="20"/>
    </row>
    <row r="3778" spans="2:2" x14ac:dyDescent="0.2">
      <c r="B3778" s="20"/>
    </row>
    <row r="3779" spans="2:2" x14ac:dyDescent="0.2">
      <c r="B3779" s="20"/>
    </row>
    <row r="3780" spans="2:2" x14ac:dyDescent="0.2">
      <c r="B3780" s="20"/>
    </row>
    <row r="3781" spans="2:2" x14ac:dyDescent="0.2">
      <c r="B3781" s="20"/>
    </row>
    <row r="3782" spans="2:2" x14ac:dyDescent="0.2">
      <c r="B3782" s="20"/>
    </row>
    <row r="3783" spans="2:2" x14ac:dyDescent="0.2">
      <c r="B3783" s="20"/>
    </row>
    <row r="3784" spans="2:2" x14ac:dyDescent="0.2">
      <c r="B3784" s="20"/>
    </row>
    <row r="3785" spans="2:2" x14ac:dyDescent="0.2">
      <c r="B3785" s="20"/>
    </row>
    <row r="3786" spans="2:2" x14ac:dyDescent="0.2">
      <c r="B3786" s="20"/>
    </row>
    <row r="3787" spans="2:2" x14ac:dyDescent="0.2">
      <c r="B3787" s="20"/>
    </row>
    <row r="3788" spans="2:2" x14ac:dyDescent="0.2">
      <c r="B3788" s="20"/>
    </row>
    <row r="3789" spans="2:2" x14ac:dyDescent="0.2">
      <c r="B3789" s="20"/>
    </row>
    <row r="3790" spans="2:2" x14ac:dyDescent="0.2">
      <c r="B3790" s="20"/>
    </row>
    <row r="3791" spans="2:2" x14ac:dyDescent="0.2">
      <c r="B3791" s="20"/>
    </row>
    <row r="3792" spans="2:2" x14ac:dyDescent="0.2">
      <c r="B3792" s="20"/>
    </row>
    <row r="3793" spans="2:2" x14ac:dyDescent="0.2">
      <c r="B3793" s="20"/>
    </row>
    <row r="3794" spans="2:2" x14ac:dyDescent="0.2">
      <c r="B3794" s="20"/>
    </row>
    <row r="3795" spans="2:2" x14ac:dyDescent="0.2">
      <c r="B3795" s="20"/>
    </row>
    <row r="3796" spans="2:2" x14ac:dyDescent="0.2">
      <c r="B3796" s="20"/>
    </row>
    <row r="3797" spans="2:2" x14ac:dyDescent="0.2">
      <c r="B3797" s="20"/>
    </row>
    <row r="3798" spans="2:2" x14ac:dyDescent="0.2">
      <c r="B3798" s="20"/>
    </row>
    <row r="3799" spans="2:2" x14ac:dyDescent="0.2">
      <c r="B3799" s="20"/>
    </row>
    <row r="3800" spans="2:2" x14ac:dyDescent="0.2">
      <c r="B3800" s="20"/>
    </row>
    <row r="3801" spans="2:2" x14ac:dyDescent="0.2">
      <c r="B3801" s="20"/>
    </row>
    <row r="3802" spans="2:2" x14ac:dyDescent="0.2">
      <c r="B3802" s="20"/>
    </row>
    <row r="3803" spans="2:2" x14ac:dyDescent="0.2">
      <c r="B3803" s="20"/>
    </row>
    <row r="3804" spans="2:2" x14ac:dyDescent="0.2">
      <c r="B3804" s="20"/>
    </row>
    <row r="3805" spans="2:2" x14ac:dyDescent="0.2">
      <c r="B3805" s="20"/>
    </row>
    <row r="3806" spans="2:2" x14ac:dyDescent="0.2">
      <c r="B3806" s="20"/>
    </row>
    <row r="3807" spans="2:2" x14ac:dyDescent="0.2">
      <c r="B3807" s="20"/>
    </row>
    <row r="3808" spans="2:2" x14ac:dyDescent="0.2">
      <c r="B3808" s="20"/>
    </row>
    <row r="3809" spans="2:2" x14ac:dyDescent="0.2">
      <c r="B3809" s="20"/>
    </row>
    <row r="3810" spans="2:2" x14ac:dyDescent="0.2">
      <c r="B3810" s="20"/>
    </row>
    <row r="3811" spans="2:2" x14ac:dyDescent="0.2">
      <c r="B3811" s="20"/>
    </row>
    <row r="3812" spans="2:2" x14ac:dyDescent="0.2">
      <c r="B3812" s="20"/>
    </row>
    <row r="3813" spans="2:2" x14ac:dyDescent="0.2">
      <c r="B3813" s="20"/>
    </row>
    <row r="3814" spans="2:2" x14ac:dyDescent="0.2">
      <c r="B3814" s="20"/>
    </row>
    <row r="3815" spans="2:2" x14ac:dyDescent="0.2">
      <c r="B3815" s="20"/>
    </row>
    <row r="3816" spans="2:2" x14ac:dyDescent="0.2">
      <c r="B3816" s="20"/>
    </row>
    <row r="3817" spans="2:2" x14ac:dyDescent="0.2">
      <c r="B3817" s="20"/>
    </row>
    <row r="3818" spans="2:2" x14ac:dyDescent="0.2">
      <c r="B3818" s="20"/>
    </row>
    <row r="3819" spans="2:2" x14ac:dyDescent="0.2">
      <c r="B3819" s="20"/>
    </row>
    <row r="3820" spans="2:2" x14ac:dyDescent="0.2">
      <c r="B3820" s="20"/>
    </row>
    <row r="3821" spans="2:2" x14ac:dyDescent="0.2">
      <c r="B3821" s="20"/>
    </row>
    <row r="3822" spans="2:2" x14ac:dyDescent="0.2">
      <c r="B3822" s="20"/>
    </row>
    <row r="3823" spans="2:2" x14ac:dyDescent="0.2">
      <c r="B3823" s="20"/>
    </row>
    <row r="3824" spans="2:2" x14ac:dyDescent="0.2">
      <c r="B3824" s="20"/>
    </row>
    <row r="3825" spans="2:2" x14ac:dyDescent="0.2">
      <c r="B3825" s="20"/>
    </row>
    <row r="3826" spans="2:2" x14ac:dyDescent="0.2">
      <c r="B3826" s="20"/>
    </row>
    <row r="3827" spans="2:2" x14ac:dyDescent="0.2">
      <c r="B3827" s="20"/>
    </row>
    <row r="3828" spans="2:2" x14ac:dyDescent="0.2">
      <c r="B3828" s="20"/>
    </row>
    <row r="3829" spans="2:2" x14ac:dyDescent="0.2">
      <c r="B3829" s="20"/>
    </row>
    <row r="3830" spans="2:2" x14ac:dyDescent="0.2">
      <c r="B3830" s="20"/>
    </row>
    <row r="3831" spans="2:2" x14ac:dyDescent="0.2">
      <c r="B3831" s="20"/>
    </row>
    <row r="3832" spans="2:2" x14ac:dyDescent="0.2">
      <c r="B3832" s="20"/>
    </row>
    <row r="3833" spans="2:2" x14ac:dyDescent="0.2">
      <c r="B3833" s="20"/>
    </row>
    <row r="3834" spans="2:2" x14ac:dyDescent="0.2">
      <c r="B3834" s="20"/>
    </row>
    <row r="3835" spans="2:2" x14ac:dyDescent="0.2">
      <c r="B3835" s="20"/>
    </row>
    <row r="3836" spans="2:2" x14ac:dyDescent="0.2">
      <c r="B3836" s="20"/>
    </row>
    <row r="3837" spans="2:2" x14ac:dyDescent="0.2">
      <c r="B3837" s="20"/>
    </row>
    <row r="3838" spans="2:2" x14ac:dyDescent="0.2">
      <c r="B3838" s="20"/>
    </row>
    <row r="3839" spans="2:2" x14ac:dyDescent="0.2">
      <c r="B3839" s="20"/>
    </row>
    <row r="3840" spans="2:2" x14ac:dyDescent="0.2">
      <c r="B3840" s="20"/>
    </row>
    <row r="3841" spans="2:2" x14ac:dyDescent="0.2">
      <c r="B3841" s="20"/>
    </row>
    <row r="3842" spans="2:2" x14ac:dyDescent="0.2">
      <c r="B3842" s="20"/>
    </row>
    <row r="3843" spans="2:2" x14ac:dyDescent="0.2">
      <c r="B3843" s="20"/>
    </row>
    <row r="3844" spans="2:2" x14ac:dyDescent="0.2">
      <c r="B3844" s="20"/>
    </row>
    <row r="3845" spans="2:2" x14ac:dyDescent="0.2">
      <c r="B3845" s="20"/>
    </row>
    <row r="3846" spans="2:2" x14ac:dyDescent="0.2">
      <c r="B3846" s="20"/>
    </row>
    <row r="3847" spans="2:2" x14ac:dyDescent="0.2">
      <c r="B3847" s="20"/>
    </row>
    <row r="3848" spans="2:2" x14ac:dyDescent="0.2">
      <c r="B3848" s="20"/>
    </row>
    <row r="3849" spans="2:2" x14ac:dyDescent="0.2">
      <c r="B3849" s="20"/>
    </row>
    <row r="3850" spans="2:2" x14ac:dyDescent="0.2">
      <c r="B3850" s="20"/>
    </row>
    <row r="3851" spans="2:2" x14ac:dyDescent="0.2">
      <c r="B3851" s="20"/>
    </row>
    <row r="3852" spans="2:2" x14ac:dyDescent="0.2">
      <c r="B3852" s="20"/>
    </row>
    <row r="3853" spans="2:2" x14ac:dyDescent="0.2">
      <c r="B3853" s="20"/>
    </row>
    <row r="3854" spans="2:2" x14ac:dyDescent="0.2">
      <c r="B3854" s="20"/>
    </row>
    <row r="3855" spans="2:2" x14ac:dyDescent="0.2">
      <c r="B3855" s="20"/>
    </row>
    <row r="3856" spans="2:2" x14ac:dyDescent="0.2">
      <c r="B3856" s="20"/>
    </row>
    <row r="3857" spans="2:2" x14ac:dyDescent="0.2">
      <c r="B3857" s="20"/>
    </row>
    <row r="3858" spans="2:2" x14ac:dyDescent="0.2">
      <c r="B3858" s="20"/>
    </row>
    <row r="3859" spans="2:2" x14ac:dyDescent="0.2">
      <c r="B3859" s="20"/>
    </row>
    <row r="3860" spans="2:2" x14ac:dyDescent="0.2">
      <c r="B3860" s="20"/>
    </row>
    <row r="3861" spans="2:2" x14ac:dyDescent="0.2">
      <c r="B3861" s="20"/>
    </row>
    <row r="3862" spans="2:2" x14ac:dyDescent="0.2">
      <c r="B3862" s="20"/>
    </row>
    <row r="3863" spans="2:2" x14ac:dyDescent="0.2">
      <c r="B3863" s="20"/>
    </row>
    <row r="3864" spans="2:2" x14ac:dyDescent="0.2">
      <c r="B3864" s="20"/>
    </row>
    <row r="3865" spans="2:2" x14ac:dyDescent="0.2">
      <c r="B3865" s="20"/>
    </row>
    <row r="3866" spans="2:2" x14ac:dyDescent="0.2">
      <c r="B3866" s="20"/>
    </row>
    <row r="3867" spans="2:2" x14ac:dyDescent="0.2">
      <c r="B3867" s="20"/>
    </row>
    <row r="3868" spans="2:2" x14ac:dyDescent="0.2">
      <c r="B3868" s="20"/>
    </row>
    <row r="3869" spans="2:2" x14ac:dyDescent="0.2">
      <c r="B3869" s="20"/>
    </row>
    <row r="3870" spans="2:2" x14ac:dyDescent="0.2">
      <c r="B3870" s="20"/>
    </row>
    <row r="3871" spans="2:2" x14ac:dyDescent="0.2">
      <c r="B3871" s="20"/>
    </row>
    <row r="3872" spans="2:2" x14ac:dyDescent="0.2">
      <c r="B3872" s="20"/>
    </row>
    <row r="3873" spans="2:2" x14ac:dyDescent="0.2">
      <c r="B3873" s="20"/>
    </row>
    <row r="3874" spans="2:2" x14ac:dyDescent="0.2">
      <c r="B3874" s="20"/>
    </row>
    <row r="3875" spans="2:2" x14ac:dyDescent="0.2">
      <c r="B3875" s="20"/>
    </row>
    <row r="3876" spans="2:2" x14ac:dyDescent="0.2">
      <c r="B3876" s="20"/>
    </row>
    <row r="3877" spans="2:2" x14ac:dyDescent="0.2">
      <c r="B3877" s="20"/>
    </row>
    <row r="3878" spans="2:2" x14ac:dyDescent="0.2">
      <c r="B3878" s="20"/>
    </row>
    <row r="3879" spans="2:2" x14ac:dyDescent="0.2">
      <c r="B3879" s="20"/>
    </row>
    <row r="3880" spans="2:2" x14ac:dyDescent="0.2">
      <c r="B3880" s="20"/>
    </row>
    <row r="3881" spans="2:2" x14ac:dyDescent="0.2">
      <c r="B3881" s="20"/>
    </row>
    <row r="3882" spans="2:2" x14ac:dyDescent="0.2">
      <c r="B3882" s="20"/>
    </row>
    <row r="3883" spans="2:2" x14ac:dyDescent="0.2">
      <c r="B3883" s="20"/>
    </row>
    <row r="3884" spans="2:2" x14ac:dyDescent="0.2">
      <c r="B3884" s="20"/>
    </row>
    <row r="3885" spans="2:2" x14ac:dyDescent="0.2">
      <c r="B3885" s="20"/>
    </row>
    <row r="3886" spans="2:2" x14ac:dyDescent="0.2">
      <c r="B3886" s="20"/>
    </row>
    <row r="3887" spans="2:2" x14ac:dyDescent="0.2">
      <c r="B3887" s="20"/>
    </row>
    <row r="3888" spans="2:2" x14ac:dyDescent="0.2">
      <c r="B3888" s="20"/>
    </row>
    <row r="3889" spans="2:2" x14ac:dyDescent="0.2">
      <c r="B3889" s="20"/>
    </row>
    <row r="3890" spans="2:2" x14ac:dyDescent="0.2">
      <c r="B3890" s="20"/>
    </row>
    <row r="3891" spans="2:2" x14ac:dyDescent="0.2">
      <c r="B3891" s="20"/>
    </row>
    <row r="3892" spans="2:2" x14ac:dyDescent="0.2">
      <c r="B3892" s="20"/>
    </row>
    <row r="3893" spans="2:2" x14ac:dyDescent="0.2">
      <c r="B3893" s="20"/>
    </row>
    <row r="3894" spans="2:2" x14ac:dyDescent="0.2">
      <c r="B3894" s="20"/>
    </row>
    <row r="3895" spans="2:2" x14ac:dyDescent="0.2">
      <c r="B3895" s="20"/>
    </row>
    <row r="3896" spans="2:2" x14ac:dyDescent="0.2">
      <c r="B3896" s="20"/>
    </row>
    <row r="3897" spans="2:2" x14ac:dyDescent="0.2">
      <c r="B3897" s="20"/>
    </row>
    <row r="3898" spans="2:2" x14ac:dyDescent="0.2">
      <c r="B3898" s="20"/>
    </row>
    <row r="3899" spans="2:2" x14ac:dyDescent="0.2">
      <c r="B3899" s="20"/>
    </row>
    <row r="3900" spans="2:2" x14ac:dyDescent="0.2">
      <c r="B3900" s="20"/>
    </row>
    <row r="3901" spans="2:2" x14ac:dyDescent="0.2">
      <c r="B3901" s="20"/>
    </row>
    <row r="3902" spans="2:2" x14ac:dyDescent="0.2">
      <c r="B3902" s="20"/>
    </row>
    <row r="3903" spans="2:2" x14ac:dyDescent="0.2">
      <c r="B3903" s="20"/>
    </row>
    <row r="3904" spans="2:2" x14ac:dyDescent="0.2">
      <c r="B3904" s="20"/>
    </row>
    <row r="3905" spans="2:2" x14ac:dyDescent="0.2">
      <c r="B3905" s="20"/>
    </row>
    <row r="3906" spans="2:2" x14ac:dyDescent="0.2">
      <c r="B3906" s="20"/>
    </row>
    <row r="3907" spans="2:2" x14ac:dyDescent="0.2">
      <c r="B3907" s="20"/>
    </row>
    <row r="3908" spans="2:2" x14ac:dyDescent="0.2">
      <c r="B3908" s="20"/>
    </row>
    <row r="3909" spans="2:2" x14ac:dyDescent="0.2">
      <c r="B3909" s="20"/>
    </row>
    <row r="3910" spans="2:2" x14ac:dyDescent="0.2">
      <c r="B3910" s="20"/>
    </row>
    <row r="3911" spans="2:2" x14ac:dyDescent="0.2">
      <c r="B3911" s="20"/>
    </row>
    <row r="3912" spans="2:2" x14ac:dyDescent="0.2">
      <c r="B3912" s="20"/>
    </row>
    <row r="3913" spans="2:2" x14ac:dyDescent="0.2">
      <c r="B3913" s="20"/>
    </row>
    <row r="3914" spans="2:2" x14ac:dyDescent="0.2">
      <c r="B3914" s="20"/>
    </row>
    <row r="3915" spans="2:2" x14ac:dyDescent="0.2">
      <c r="B3915" s="20"/>
    </row>
    <row r="3916" spans="2:2" x14ac:dyDescent="0.2">
      <c r="B3916" s="20"/>
    </row>
    <row r="3917" spans="2:2" x14ac:dyDescent="0.2">
      <c r="B3917" s="20"/>
    </row>
    <row r="3918" spans="2:2" x14ac:dyDescent="0.2">
      <c r="B3918" s="20"/>
    </row>
    <row r="3919" spans="2:2" x14ac:dyDescent="0.2">
      <c r="B3919" s="20"/>
    </row>
    <row r="3920" spans="2:2" x14ac:dyDescent="0.2">
      <c r="B3920" s="20"/>
    </row>
    <row r="3921" spans="2:2" x14ac:dyDescent="0.2">
      <c r="B3921" s="20"/>
    </row>
    <row r="3922" spans="2:2" x14ac:dyDescent="0.2">
      <c r="B3922" s="20"/>
    </row>
    <row r="3923" spans="2:2" x14ac:dyDescent="0.2">
      <c r="B3923" s="20"/>
    </row>
    <row r="3924" spans="2:2" x14ac:dyDescent="0.2">
      <c r="B3924" s="20"/>
    </row>
    <row r="3925" spans="2:2" x14ac:dyDescent="0.2">
      <c r="B3925" s="20"/>
    </row>
    <row r="3926" spans="2:2" x14ac:dyDescent="0.2">
      <c r="B3926" s="20"/>
    </row>
    <row r="3927" spans="2:2" x14ac:dyDescent="0.2">
      <c r="B3927" s="20"/>
    </row>
    <row r="3928" spans="2:2" x14ac:dyDescent="0.2">
      <c r="B3928" s="20"/>
    </row>
    <row r="3929" spans="2:2" x14ac:dyDescent="0.2">
      <c r="B3929" s="20"/>
    </row>
    <row r="3930" spans="2:2" x14ac:dyDescent="0.2">
      <c r="B3930" s="20"/>
    </row>
    <row r="3931" spans="2:2" x14ac:dyDescent="0.2">
      <c r="B3931" s="20"/>
    </row>
    <row r="3932" spans="2:2" x14ac:dyDescent="0.2">
      <c r="B3932" s="20"/>
    </row>
    <row r="3933" spans="2:2" x14ac:dyDescent="0.2">
      <c r="B3933" s="20"/>
    </row>
    <row r="3934" spans="2:2" x14ac:dyDescent="0.2">
      <c r="B3934" s="20"/>
    </row>
    <row r="3935" spans="2:2" x14ac:dyDescent="0.2">
      <c r="B3935" s="20"/>
    </row>
    <row r="3936" spans="2:2" x14ac:dyDescent="0.2">
      <c r="B3936" s="20"/>
    </row>
    <row r="3937" spans="2:2" x14ac:dyDescent="0.2">
      <c r="B3937" s="20"/>
    </row>
    <row r="3938" spans="2:2" x14ac:dyDescent="0.2">
      <c r="B3938" s="20"/>
    </row>
    <row r="3939" spans="2:2" x14ac:dyDescent="0.2">
      <c r="B3939" s="20"/>
    </row>
    <row r="3940" spans="2:2" x14ac:dyDescent="0.2">
      <c r="B3940" s="20"/>
    </row>
    <row r="3941" spans="2:2" x14ac:dyDescent="0.2">
      <c r="B3941" s="20"/>
    </row>
    <row r="3942" spans="2:2" x14ac:dyDescent="0.2">
      <c r="B3942" s="20"/>
    </row>
    <row r="3943" spans="2:2" x14ac:dyDescent="0.2">
      <c r="B3943" s="20"/>
    </row>
    <row r="3944" spans="2:2" x14ac:dyDescent="0.2">
      <c r="B3944" s="20"/>
    </row>
    <row r="3945" spans="2:2" x14ac:dyDescent="0.2">
      <c r="B3945" s="20"/>
    </row>
    <row r="3946" spans="2:2" x14ac:dyDescent="0.2">
      <c r="B3946" s="20"/>
    </row>
    <row r="3947" spans="2:2" x14ac:dyDescent="0.2">
      <c r="B3947" s="20"/>
    </row>
    <row r="3948" spans="2:2" x14ac:dyDescent="0.2">
      <c r="B3948" s="20"/>
    </row>
    <row r="3949" spans="2:2" x14ac:dyDescent="0.2">
      <c r="B3949" s="20"/>
    </row>
    <row r="3950" spans="2:2" x14ac:dyDescent="0.2">
      <c r="B3950" s="20"/>
    </row>
    <row r="3951" spans="2:2" x14ac:dyDescent="0.2">
      <c r="B3951" s="20"/>
    </row>
    <row r="3952" spans="2:2" x14ac:dyDescent="0.2">
      <c r="B3952" s="20"/>
    </row>
    <row r="3953" spans="2:2" x14ac:dyDescent="0.2">
      <c r="B3953" s="20"/>
    </row>
    <row r="3954" spans="2:2" x14ac:dyDescent="0.2">
      <c r="B3954" s="20"/>
    </row>
    <row r="3955" spans="2:2" x14ac:dyDescent="0.2">
      <c r="B3955" s="20"/>
    </row>
    <row r="3956" spans="2:2" x14ac:dyDescent="0.2">
      <c r="B3956" s="20"/>
    </row>
    <row r="3957" spans="2:2" x14ac:dyDescent="0.2">
      <c r="B3957" s="20"/>
    </row>
    <row r="3958" spans="2:2" x14ac:dyDescent="0.2">
      <c r="B3958" s="20"/>
    </row>
    <row r="3959" spans="2:2" x14ac:dyDescent="0.2">
      <c r="B3959" s="20"/>
    </row>
    <row r="3960" spans="2:2" x14ac:dyDescent="0.2">
      <c r="B3960" s="20"/>
    </row>
    <row r="3961" spans="2:2" x14ac:dyDescent="0.2">
      <c r="B3961" s="20"/>
    </row>
    <row r="3962" spans="2:2" x14ac:dyDescent="0.2">
      <c r="B3962" s="20"/>
    </row>
    <row r="3963" spans="2:2" x14ac:dyDescent="0.2">
      <c r="B3963" s="20"/>
    </row>
    <row r="3964" spans="2:2" x14ac:dyDescent="0.2">
      <c r="B3964" s="20"/>
    </row>
    <row r="3965" spans="2:2" x14ac:dyDescent="0.2">
      <c r="B3965" s="20"/>
    </row>
    <row r="3966" spans="2:2" x14ac:dyDescent="0.2">
      <c r="B3966" s="20"/>
    </row>
    <row r="3967" spans="2:2" x14ac:dyDescent="0.2">
      <c r="B3967" s="20"/>
    </row>
    <row r="3968" spans="2:2" x14ac:dyDescent="0.2">
      <c r="B3968" s="20"/>
    </row>
    <row r="3969" spans="2:2" x14ac:dyDescent="0.2">
      <c r="B3969" s="20"/>
    </row>
    <row r="3970" spans="2:2" x14ac:dyDescent="0.2">
      <c r="B3970" s="20"/>
    </row>
    <row r="3971" spans="2:2" x14ac:dyDescent="0.2">
      <c r="B3971" s="20"/>
    </row>
    <row r="3972" spans="2:2" x14ac:dyDescent="0.2">
      <c r="B3972" s="20"/>
    </row>
    <row r="3973" spans="2:2" x14ac:dyDescent="0.2">
      <c r="B3973" s="20"/>
    </row>
    <row r="3974" spans="2:2" x14ac:dyDescent="0.2">
      <c r="B3974" s="20"/>
    </row>
    <row r="3975" spans="2:2" x14ac:dyDescent="0.2">
      <c r="B3975" s="20"/>
    </row>
    <row r="3976" spans="2:2" x14ac:dyDescent="0.2">
      <c r="B3976" s="20"/>
    </row>
    <row r="3977" spans="2:2" x14ac:dyDescent="0.2">
      <c r="B3977" s="20"/>
    </row>
    <row r="3978" spans="2:2" x14ac:dyDescent="0.2">
      <c r="B3978" s="20"/>
    </row>
    <row r="3979" spans="2:2" x14ac:dyDescent="0.2">
      <c r="B3979" s="20"/>
    </row>
    <row r="3980" spans="2:2" x14ac:dyDescent="0.2">
      <c r="B3980" s="20"/>
    </row>
    <row r="3981" spans="2:2" x14ac:dyDescent="0.2">
      <c r="B3981" s="20"/>
    </row>
    <row r="3982" spans="2:2" x14ac:dyDescent="0.2">
      <c r="B3982" s="20"/>
    </row>
    <row r="3983" spans="2:2" x14ac:dyDescent="0.2">
      <c r="B3983" s="20"/>
    </row>
    <row r="3984" spans="2:2" x14ac:dyDescent="0.2">
      <c r="B3984" s="20"/>
    </row>
    <row r="3985" spans="2:2" x14ac:dyDescent="0.2">
      <c r="B3985" s="20"/>
    </row>
    <row r="3986" spans="2:2" x14ac:dyDescent="0.2">
      <c r="B3986" s="20"/>
    </row>
    <row r="3987" spans="2:2" x14ac:dyDescent="0.2">
      <c r="B3987" s="20"/>
    </row>
    <row r="3988" spans="2:2" x14ac:dyDescent="0.2">
      <c r="B3988" s="20"/>
    </row>
    <row r="3989" spans="2:2" x14ac:dyDescent="0.2">
      <c r="B3989" s="20"/>
    </row>
    <row r="3990" spans="2:2" x14ac:dyDescent="0.2">
      <c r="B3990" s="20"/>
    </row>
    <row r="3991" spans="2:2" x14ac:dyDescent="0.2">
      <c r="B3991" s="20"/>
    </row>
    <row r="3992" spans="2:2" x14ac:dyDescent="0.2">
      <c r="B3992" s="20"/>
    </row>
    <row r="3993" spans="2:2" x14ac:dyDescent="0.2">
      <c r="B3993" s="20"/>
    </row>
    <row r="3994" spans="2:2" x14ac:dyDescent="0.2">
      <c r="B3994" s="20"/>
    </row>
    <row r="3995" spans="2:2" x14ac:dyDescent="0.2">
      <c r="B3995" s="20"/>
    </row>
    <row r="3996" spans="2:2" x14ac:dyDescent="0.2">
      <c r="B3996" s="20"/>
    </row>
    <row r="3997" spans="2:2" x14ac:dyDescent="0.2">
      <c r="B3997" s="20"/>
    </row>
    <row r="3998" spans="2:2" x14ac:dyDescent="0.2">
      <c r="B3998" s="20"/>
    </row>
    <row r="3999" spans="2:2" x14ac:dyDescent="0.2">
      <c r="B3999" s="20"/>
    </row>
    <row r="4000" spans="2:2" x14ac:dyDescent="0.2">
      <c r="B4000" s="20"/>
    </row>
    <row r="4001" spans="2:2" x14ac:dyDescent="0.2">
      <c r="B4001" s="20"/>
    </row>
    <row r="4002" spans="2:2" x14ac:dyDescent="0.2">
      <c r="B4002" s="20"/>
    </row>
    <row r="4003" spans="2:2" x14ac:dyDescent="0.2">
      <c r="B4003" s="20"/>
    </row>
    <row r="4004" spans="2:2" x14ac:dyDescent="0.2">
      <c r="B4004" s="20"/>
    </row>
    <row r="4005" spans="2:2" x14ac:dyDescent="0.2">
      <c r="B4005" s="20"/>
    </row>
    <row r="4006" spans="2:2" x14ac:dyDescent="0.2">
      <c r="B4006" s="20"/>
    </row>
    <row r="4007" spans="2:2" x14ac:dyDescent="0.2">
      <c r="B4007" s="20"/>
    </row>
    <row r="4008" spans="2:2" x14ac:dyDescent="0.2">
      <c r="B4008" s="20"/>
    </row>
    <row r="4009" spans="2:2" x14ac:dyDescent="0.2">
      <c r="B4009" s="20"/>
    </row>
    <row r="4010" spans="2:2" x14ac:dyDescent="0.2">
      <c r="B4010" s="20"/>
    </row>
    <row r="4011" spans="2:2" x14ac:dyDescent="0.2">
      <c r="B4011" s="20"/>
    </row>
    <row r="4012" spans="2:2" x14ac:dyDescent="0.2">
      <c r="B4012" s="20"/>
    </row>
    <row r="4013" spans="2:2" x14ac:dyDescent="0.2">
      <c r="B4013" s="20"/>
    </row>
    <row r="4014" spans="2:2" x14ac:dyDescent="0.2">
      <c r="B4014" s="20"/>
    </row>
    <row r="4015" spans="2:2" x14ac:dyDescent="0.2">
      <c r="B4015" s="20"/>
    </row>
    <row r="4016" spans="2:2" x14ac:dyDescent="0.2">
      <c r="B4016" s="20"/>
    </row>
    <row r="4017" spans="2:2" x14ac:dyDescent="0.2">
      <c r="B4017" s="20"/>
    </row>
    <row r="4018" spans="2:2" x14ac:dyDescent="0.2">
      <c r="B4018" s="20"/>
    </row>
    <row r="4019" spans="2:2" x14ac:dyDescent="0.2">
      <c r="B4019" s="20"/>
    </row>
    <row r="4020" spans="2:2" x14ac:dyDescent="0.2">
      <c r="B4020" s="20"/>
    </row>
    <row r="4021" spans="2:2" x14ac:dyDescent="0.2">
      <c r="B4021" s="20"/>
    </row>
    <row r="4022" spans="2:2" x14ac:dyDescent="0.2">
      <c r="B4022" s="20"/>
    </row>
    <row r="4023" spans="2:2" x14ac:dyDescent="0.2">
      <c r="B4023" s="20"/>
    </row>
    <row r="4024" spans="2:2" x14ac:dyDescent="0.2">
      <c r="B4024" s="20"/>
    </row>
    <row r="4025" spans="2:2" x14ac:dyDescent="0.2">
      <c r="B4025" s="20"/>
    </row>
    <row r="4026" spans="2:2" x14ac:dyDescent="0.2">
      <c r="B4026" s="20"/>
    </row>
    <row r="4027" spans="2:2" x14ac:dyDescent="0.2">
      <c r="B4027" s="20"/>
    </row>
    <row r="4028" spans="2:2" x14ac:dyDescent="0.2">
      <c r="B4028" s="20"/>
    </row>
    <row r="4029" spans="2:2" x14ac:dyDescent="0.2">
      <c r="B4029" s="20"/>
    </row>
    <row r="4030" spans="2:2" x14ac:dyDescent="0.2">
      <c r="B4030" s="20"/>
    </row>
    <row r="4031" spans="2:2" x14ac:dyDescent="0.2">
      <c r="B4031" s="20"/>
    </row>
    <row r="4032" spans="2:2" x14ac:dyDescent="0.2">
      <c r="B4032" s="20"/>
    </row>
    <row r="4033" spans="2:2" x14ac:dyDescent="0.2">
      <c r="B4033" s="20"/>
    </row>
    <row r="4034" spans="2:2" x14ac:dyDescent="0.2">
      <c r="B4034" s="20"/>
    </row>
    <row r="4035" spans="2:2" x14ac:dyDescent="0.2">
      <c r="B4035" s="20"/>
    </row>
    <row r="4036" spans="2:2" x14ac:dyDescent="0.2">
      <c r="B4036" s="20"/>
    </row>
    <row r="4037" spans="2:2" x14ac:dyDescent="0.2">
      <c r="B4037" s="20"/>
    </row>
    <row r="4038" spans="2:2" x14ac:dyDescent="0.2">
      <c r="B4038" s="20"/>
    </row>
    <row r="4039" spans="2:2" x14ac:dyDescent="0.2">
      <c r="B4039" s="20"/>
    </row>
    <row r="4040" spans="2:2" x14ac:dyDescent="0.2">
      <c r="B4040" s="20"/>
    </row>
    <row r="4041" spans="2:2" x14ac:dyDescent="0.2">
      <c r="B4041" s="20"/>
    </row>
    <row r="4042" spans="2:2" x14ac:dyDescent="0.2">
      <c r="B4042" s="20"/>
    </row>
    <row r="4043" spans="2:2" x14ac:dyDescent="0.2">
      <c r="B4043" s="20"/>
    </row>
    <row r="4044" spans="2:2" x14ac:dyDescent="0.2">
      <c r="B4044" s="20"/>
    </row>
    <row r="4045" spans="2:2" x14ac:dyDescent="0.2">
      <c r="B4045" s="20"/>
    </row>
    <row r="4046" spans="2:2" x14ac:dyDescent="0.2">
      <c r="B4046" s="20"/>
    </row>
    <row r="4047" spans="2:2" x14ac:dyDescent="0.2">
      <c r="B4047" s="20"/>
    </row>
    <row r="4048" spans="2:2" x14ac:dyDescent="0.2">
      <c r="B4048" s="20"/>
    </row>
    <row r="4049" spans="2:2" x14ac:dyDescent="0.2">
      <c r="B4049" s="20"/>
    </row>
    <row r="4050" spans="2:2" x14ac:dyDescent="0.2">
      <c r="B4050" s="20"/>
    </row>
    <row r="4051" spans="2:2" x14ac:dyDescent="0.2">
      <c r="B4051" s="20"/>
    </row>
    <row r="4052" spans="2:2" x14ac:dyDescent="0.2">
      <c r="B4052" s="20"/>
    </row>
    <row r="4053" spans="2:2" x14ac:dyDescent="0.2">
      <c r="B4053" s="20"/>
    </row>
    <row r="4054" spans="2:2" x14ac:dyDescent="0.2">
      <c r="B4054" s="20"/>
    </row>
    <row r="4055" spans="2:2" x14ac:dyDescent="0.2">
      <c r="B4055" s="20"/>
    </row>
    <row r="4056" spans="2:2" x14ac:dyDescent="0.2">
      <c r="B4056" s="20"/>
    </row>
    <row r="4057" spans="2:2" x14ac:dyDescent="0.2">
      <c r="B4057" s="20"/>
    </row>
    <row r="4058" spans="2:2" x14ac:dyDescent="0.2">
      <c r="B4058" s="20"/>
    </row>
    <row r="4059" spans="2:2" x14ac:dyDescent="0.2">
      <c r="B4059" s="20"/>
    </row>
    <row r="4060" spans="2:2" x14ac:dyDescent="0.2">
      <c r="B4060" s="20"/>
    </row>
    <row r="4061" spans="2:2" x14ac:dyDescent="0.2">
      <c r="B4061" s="20"/>
    </row>
    <row r="4062" spans="2:2" x14ac:dyDescent="0.2">
      <c r="B4062" s="20"/>
    </row>
    <row r="4063" spans="2:2" x14ac:dyDescent="0.2">
      <c r="B4063" s="20"/>
    </row>
    <row r="4064" spans="2:2" x14ac:dyDescent="0.2">
      <c r="B4064" s="20"/>
    </row>
    <row r="4065" spans="2:2" x14ac:dyDescent="0.2">
      <c r="B4065" s="20"/>
    </row>
    <row r="4066" spans="2:2" x14ac:dyDescent="0.2">
      <c r="B4066" s="20"/>
    </row>
    <row r="4067" spans="2:2" x14ac:dyDescent="0.2">
      <c r="B4067" s="20"/>
    </row>
    <row r="4068" spans="2:2" x14ac:dyDescent="0.2">
      <c r="B4068" s="20"/>
    </row>
    <row r="4069" spans="2:2" x14ac:dyDescent="0.2">
      <c r="B4069" s="20"/>
    </row>
    <row r="4070" spans="2:2" x14ac:dyDescent="0.2">
      <c r="B4070" s="20"/>
    </row>
    <row r="4071" spans="2:2" x14ac:dyDescent="0.2">
      <c r="B4071" s="20"/>
    </row>
    <row r="4072" spans="2:2" x14ac:dyDescent="0.2">
      <c r="B4072" s="20"/>
    </row>
    <row r="4073" spans="2:2" x14ac:dyDescent="0.2">
      <c r="B4073" s="20"/>
    </row>
    <row r="4074" spans="2:2" x14ac:dyDescent="0.2">
      <c r="B4074" s="20"/>
    </row>
    <row r="4075" spans="2:2" x14ac:dyDescent="0.2">
      <c r="B4075" s="20"/>
    </row>
    <row r="4076" spans="2:2" x14ac:dyDescent="0.2">
      <c r="B4076" s="20"/>
    </row>
    <row r="4077" spans="2:2" x14ac:dyDescent="0.2">
      <c r="B4077" s="20"/>
    </row>
    <row r="4078" spans="2:2" x14ac:dyDescent="0.2">
      <c r="B4078" s="20"/>
    </row>
    <row r="4079" spans="2:2" x14ac:dyDescent="0.2">
      <c r="B4079" s="20"/>
    </row>
    <row r="4080" spans="2:2" x14ac:dyDescent="0.2">
      <c r="B4080" s="20"/>
    </row>
    <row r="4081" spans="2:2" x14ac:dyDescent="0.2">
      <c r="B4081" s="20"/>
    </row>
    <row r="4082" spans="2:2" x14ac:dyDescent="0.2">
      <c r="B4082" s="20"/>
    </row>
    <row r="4083" spans="2:2" x14ac:dyDescent="0.2">
      <c r="B4083" s="20"/>
    </row>
    <row r="4084" spans="2:2" x14ac:dyDescent="0.2">
      <c r="B4084" s="20"/>
    </row>
    <row r="4085" spans="2:2" x14ac:dyDescent="0.2">
      <c r="B4085" s="20"/>
    </row>
    <row r="4086" spans="2:2" x14ac:dyDescent="0.2">
      <c r="B4086" s="20"/>
    </row>
    <row r="4087" spans="2:2" x14ac:dyDescent="0.2">
      <c r="B4087" s="20"/>
    </row>
    <row r="4088" spans="2:2" x14ac:dyDescent="0.2">
      <c r="B4088" s="20"/>
    </row>
    <row r="4089" spans="2:2" x14ac:dyDescent="0.2">
      <c r="B4089" s="20"/>
    </row>
    <row r="4090" spans="2:2" x14ac:dyDescent="0.2">
      <c r="B4090" s="20"/>
    </row>
    <row r="4091" spans="2:2" x14ac:dyDescent="0.2">
      <c r="B4091" s="20"/>
    </row>
    <row r="4092" spans="2:2" x14ac:dyDescent="0.2">
      <c r="B4092" s="20"/>
    </row>
    <row r="4093" spans="2:2" x14ac:dyDescent="0.2">
      <c r="B4093" s="20"/>
    </row>
    <row r="4094" spans="2:2" x14ac:dyDescent="0.2">
      <c r="B4094" s="20"/>
    </row>
    <row r="4095" spans="2:2" x14ac:dyDescent="0.2">
      <c r="B4095" s="20"/>
    </row>
    <row r="4096" spans="2:2" x14ac:dyDescent="0.2">
      <c r="B4096" s="20"/>
    </row>
    <row r="4097" spans="2:2" x14ac:dyDescent="0.2">
      <c r="B4097" s="20"/>
    </row>
    <row r="4098" spans="2:2" x14ac:dyDescent="0.2">
      <c r="B4098" s="20"/>
    </row>
    <row r="4099" spans="2:2" x14ac:dyDescent="0.2">
      <c r="B4099" s="20"/>
    </row>
    <row r="4100" spans="2:2" x14ac:dyDescent="0.2">
      <c r="B4100" s="20"/>
    </row>
    <row r="4101" spans="2:2" x14ac:dyDescent="0.2">
      <c r="B4101" s="20"/>
    </row>
    <row r="4102" spans="2:2" x14ac:dyDescent="0.2">
      <c r="B4102" s="20"/>
    </row>
    <row r="4103" spans="2:2" x14ac:dyDescent="0.2">
      <c r="B4103" s="20"/>
    </row>
    <row r="4104" spans="2:2" x14ac:dyDescent="0.2">
      <c r="B4104" s="20"/>
    </row>
    <row r="4105" spans="2:2" x14ac:dyDescent="0.2">
      <c r="B4105" s="20"/>
    </row>
    <row r="4106" spans="2:2" x14ac:dyDescent="0.2">
      <c r="B4106" s="20"/>
    </row>
    <row r="4107" spans="2:2" x14ac:dyDescent="0.2">
      <c r="B4107" s="20"/>
    </row>
    <row r="4108" spans="2:2" x14ac:dyDescent="0.2">
      <c r="B4108" s="20"/>
    </row>
    <row r="4109" spans="2:2" x14ac:dyDescent="0.2">
      <c r="B4109" s="20"/>
    </row>
    <row r="4110" spans="2:2" x14ac:dyDescent="0.2">
      <c r="B4110" s="20"/>
    </row>
    <row r="4111" spans="2:2" x14ac:dyDescent="0.2">
      <c r="B4111" s="20"/>
    </row>
    <row r="4112" spans="2:2" x14ac:dyDescent="0.2">
      <c r="B4112" s="20"/>
    </row>
    <row r="4113" spans="2:2" x14ac:dyDescent="0.2">
      <c r="B4113" s="20"/>
    </row>
    <row r="4114" spans="2:2" x14ac:dyDescent="0.2">
      <c r="B4114" s="20"/>
    </row>
    <row r="4115" spans="2:2" x14ac:dyDescent="0.2">
      <c r="B4115" s="20"/>
    </row>
    <row r="4116" spans="2:2" x14ac:dyDescent="0.2">
      <c r="B4116" s="20"/>
    </row>
    <row r="4117" spans="2:2" x14ac:dyDescent="0.2">
      <c r="B4117" s="20"/>
    </row>
    <row r="4118" spans="2:2" x14ac:dyDescent="0.2">
      <c r="B4118" s="20"/>
    </row>
    <row r="4119" spans="2:2" x14ac:dyDescent="0.2">
      <c r="B4119" s="20"/>
    </row>
    <row r="4120" spans="2:2" x14ac:dyDescent="0.2">
      <c r="B4120" s="20"/>
    </row>
    <row r="4121" spans="2:2" x14ac:dyDescent="0.2">
      <c r="B4121" s="20"/>
    </row>
    <row r="4122" spans="2:2" x14ac:dyDescent="0.2">
      <c r="B4122" s="20"/>
    </row>
    <row r="4123" spans="2:2" x14ac:dyDescent="0.2">
      <c r="B4123" s="20"/>
    </row>
    <row r="4124" spans="2:2" x14ac:dyDescent="0.2">
      <c r="B4124" s="20"/>
    </row>
    <row r="4125" spans="2:2" x14ac:dyDescent="0.2">
      <c r="B4125" s="20"/>
    </row>
    <row r="4126" spans="2:2" x14ac:dyDescent="0.2">
      <c r="B4126" s="20"/>
    </row>
    <row r="4127" spans="2:2" x14ac:dyDescent="0.2">
      <c r="B4127" s="20"/>
    </row>
    <row r="4128" spans="2:2" x14ac:dyDescent="0.2">
      <c r="B4128" s="20"/>
    </row>
    <row r="4129" spans="2:2" x14ac:dyDescent="0.2">
      <c r="B4129" s="20"/>
    </row>
    <row r="4130" spans="2:2" x14ac:dyDescent="0.2">
      <c r="B4130" s="20"/>
    </row>
    <row r="4131" spans="2:2" x14ac:dyDescent="0.2">
      <c r="B4131" s="20"/>
    </row>
    <row r="4132" spans="2:2" x14ac:dyDescent="0.2">
      <c r="B4132" s="20"/>
    </row>
    <row r="4133" spans="2:2" x14ac:dyDescent="0.2">
      <c r="B4133" s="20"/>
    </row>
    <row r="4134" spans="2:2" x14ac:dyDescent="0.2">
      <c r="B4134" s="20"/>
    </row>
    <row r="4135" spans="2:2" x14ac:dyDescent="0.2">
      <c r="B4135" s="20"/>
    </row>
    <row r="4136" spans="2:2" x14ac:dyDescent="0.2">
      <c r="B4136" s="20"/>
    </row>
    <row r="4137" spans="2:2" x14ac:dyDescent="0.2">
      <c r="B4137" s="20"/>
    </row>
    <row r="4138" spans="2:2" x14ac:dyDescent="0.2">
      <c r="B4138" s="20"/>
    </row>
    <row r="4139" spans="2:2" x14ac:dyDescent="0.2">
      <c r="B4139" s="20"/>
    </row>
    <row r="4140" spans="2:2" x14ac:dyDescent="0.2">
      <c r="B4140" s="20"/>
    </row>
    <row r="4141" spans="2:2" x14ac:dyDescent="0.2">
      <c r="B4141" s="20"/>
    </row>
    <row r="4142" spans="2:2" x14ac:dyDescent="0.2">
      <c r="B4142" s="20"/>
    </row>
    <row r="4143" spans="2:2" x14ac:dyDescent="0.2">
      <c r="B4143" s="20"/>
    </row>
    <row r="4144" spans="2:2" x14ac:dyDescent="0.2">
      <c r="B4144" s="20"/>
    </row>
    <row r="4145" spans="2:2" x14ac:dyDescent="0.2">
      <c r="B4145" s="20"/>
    </row>
    <row r="4146" spans="2:2" x14ac:dyDescent="0.2">
      <c r="B4146" s="20"/>
    </row>
    <row r="4147" spans="2:2" x14ac:dyDescent="0.2">
      <c r="B4147" s="20"/>
    </row>
    <row r="4148" spans="2:2" x14ac:dyDescent="0.2">
      <c r="B4148" s="20"/>
    </row>
    <row r="4149" spans="2:2" x14ac:dyDescent="0.2">
      <c r="B4149" s="20"/>
    </row>
    <row r="4150" spans="2:2" x14ac:dyDescent="0.2">
      <c r="B4150" s="20"/>
    </row>
    <row r="4151" spans="2:2" x14ac:dyDescent="0.2">
      <c r="B4151" s="20"/>
    </row>
    <row r="4152" spans="2:2" x14ac:dyDescent="0.2">
      <c r="B4152" s="20"/>
    </row>
    <row r="4153" spans="2:2" x14ac:dyDescent="0.2">
      <c r="B4153" s="20"/>
    </row>
    <row r="4154" spans="2:2" x14ac:dyDescent="0.2">
      <c r="B4154" s="20"/>
    </row>
    <row r="4155" spans="2:2" x14ac:dyDescent="0.2">
      <c r="B4155" s="20"/>
    </row>
    <row r="4156" spans="2:2" x14ac:dyDescent="0.2">
      <c r="B4156" s="20"/>
    </row>
    <row r="4157" spans="2:2" x14ac:dyDescent="0.2">
      <c r="B4157" s="20"/>
    </row>
    <row r="4158" spans="2:2" x14ac:dyDescent="0.2">
      <c r="B4158" s="20"/>
    </row>
    <row r="4159" spans="2:2" x14ac:dyDescent="0.2">
      <c r="B4159" s="20"/>
    </row>
    <row r="4160" spans="2:2" x14ac:dyDescent="0.2">
      <c r="B4160" s="20"/>
    </row>
    <row r="4161" spans="2:2" x14ac:dyDescent="0.2">
      <c r="B4161" s="20"/>
    </row>
    <row r="4162" spans="2:2" x14ac:dyDescent="0.2">
      <c r="B4162" s="20"/>
    </row>
    <row r="4163" spans="2:2" x14ac:dyDescent="0.2">
      <c r="B4163" s="20"/>
    </row>
    <row r="4164" spans="2:2" x14ac:dyDescent="0.2">
      <c r="B4164" s="20"/>
    </row>
    <row r="4165" spans="2:2" x14ac:dyDescent="0.2">
      <c r="B4165" s="20"/>
    </row>
    <row r="4166" spans="2:2" x14ac:dyDescent="0.2">
      <c r="B4166" s="20"/>
    </row>
    <row r="4167" spans="2:2" x14ac:dyDescent="0.2">
      <c r="B4167" s="20"/>
    </row>
    <row r="4168" spans="2:2" x14ac:dyDescent="0.2">
      <c r="B4168" s="20"/>
    </row>
    <row r="4169" spans="2:2" x14ac:dyDescent="0.2">
      <c r="B4169" s="20"/>
    </row>
    <row r="4170" spans="2:2" x14ac:dyDescent="0.2">
      <c r="B4170" s="20"/>
    </row>
    <row r="4171" spans="2:2" x14ac:dyDescent="0.2">
      <c r="B4171" s="20"/>
    </row>
    <row r="4172" spans="2:2" x14ac:dyDescent="0.2">
      <c r="B4172" s="20"/>
    </row>
    <row r="4173" spans="2:2" x14ac:dyDescent="0.2">
      <c r="B4173" s="20"/>
    </row>
    <row r="4174" spans="2:2" x14ac:dyDescent="0.2">
      <c r="B4174" s="20"/>
    </row>
    <row r="4175" spans="2:2" x14ac:dyDescent="0.2">
      <c r="B4175" s="20"/>
    </row>
    <row r="4176" spans="2:2" x14ac:dyDescent="0.2">
      <c r="B4176" s="20"/>
    </row>
    <row r="4177" spans="2:2" x14ac:dyDescent="0.2">
      <c r="B4177" s="20"/>
    </row>
    <row r="4178" spans="2:2" x14ac:dyDescent="0.2">
      <c r="B4178" s="20"/>
    </row>
    <row r="4179" spans="2:2" x14ac:dyDescent="0.2">
      <c r="B4179" s="20"/>
    </row>
    <row r="4180" spans="2:2" x14ac:dyDescent="0.2">
      <c r="B4180" s="20"/>
    </row>
    <row r="4181" spans="2:2" x14ac:dyDescent="0.2">
      <c r="B4181" s="20"/>
    </row>
    <row r="4182" spans="2:2" x14ac:dyDescent="0.2">
      <c r="B4182" s="20"/>
    </row>
    <row r="4183" spans="2:2" x14ac:dyDescent="0.2">
      <c r="B4183" s="20"/>
    </row>
    <row r="4184" spans="2:2" x14ac:dyDescent="0.2">
      <c r="B4184" s="20"/>
    </row>
    <row r="4185" spans="2:2" x14ac:dyDescent="0.2">
      <c r="B4185" s="20"/>
    </row>
    <row r="4186" spans="2:2" x14ac:dyDescent="0.2">
      <c r="B4186" s="20"/>
    </row>
    <row r="4187" spans="2:2" x14ac:dyDescent="0.2">
      <c r="B4187" s="20"/>
    </row>
    <row r="4188" spans="2:2" x14ac:dyDescent="0.2">
      <c r="B4188" s="20"/>
    </row>
    <row r="4189" spans="2:2" x14ac:dyDescent="0.2">
      <c r="B4189" s="20"/>
    </row>
    <row r="4190" spans="2:2" x14ac:dyDescent="0.2">
      <c r="B4190" s="20"/>
    </row>
    <row r="4191" spans="2:2" x14ac:dyDescent="0.2">
      <c r="B4191" s="20"/>
    </row>
    <row r="4192" spans="2:2" x14ac:dyDescent="0.2">
      <c r="B4192" s="20"/>
    </row>
    <row r="4193" spans="2:2" x14ac:dyDescent="0.2">
      <c r="B4193" s="20"/>
    </row>
    <row r="4194" spans="2:2" x14ac:dyDescent="0.2">
      <c r="B4194" s="20"/>
    </row>
    <row r="4195" spans="2:2" x14ac:dyDescent="0.2">
      <c r="B4195" s="20"/>
    </row>
    <row r="4196" spans="2:2" x14ac:dyDescent="0.2">
      <c r="B4196" s="20"/>
    </row>
    <row r="4197" spans="2:2" x14ac:dyDescent="0.2">
      <c r="B4197" s="20"/>
    </row>
    <row r="4198" spans="2:2" x14ac:dyDescent="0.2">
      <c r="B4198" s="20"/>
    </row>
    <row r="4199" spans="2:2" x14ac:dyDescent="0.2">
      <c r="B4199" s="20"/>
    </row>
    <row r="4200" spans="2:2" x14ac:dyDescent="0.2">
      <c r="B4200" s="20"/>
    </row>
    <row r="4201" spans="2:2" x14ac:dyDescent="0.2">
      <c r="B4201" s="20"/>
    </row>
    <row r="4202" spans="2:2" x14ac:dyDescent="0.2">
      <c r="B4202" s="20"/>
    </row>
    <row r="4203" spans="2:2" x14ac:dyDescent="0.2">
      <c r="B4203" s="20"/>
    </row>
    <row r="4204" spans="2:2" x14ac:dyDescent="0.2">
      <c r="B4204" s="20"/>
    </row>
    <row r="4205" spans="2:2" x14ac:dyDescent="0.2">
      <c r="B4205" s="20"/>
    </row>
    <row r="4206" spans="2:2" x14ac:dyDescent="0.2">
      <c r="B4206" s="20"/>
    </row>
    <row r="4207" spans="2:2" x14ac:dyDescent="0.2">
      <c r="B4207" s="20"/>
    </row>
    <row r="4208" spans="2:2" x14ac:dyDescent="0.2">
      <c r="B4208" s="20"/>
    </row>
    <row r="4209" spans="2:2" x14ac:dyDescent="0.2">
      <c r="B4209" s="20"/>
    </row>
    <row r="4210" spans="2:2" x14ac:dyDescent="0.2">
      <c r="B4210" s="20"/>
    </row>
    <row r="4211" spans="2:2" x14ac:dyDescent="0.2">
      <c r="B4211" s="20"/>
    </row>
    <row r="4212" spans="2:2" x14ac:dyDescent="0.2">
      <c r="B4212" s="20"/>
    </row>
    <row r="4213" spans="2:2" x14ac:dyDescent="0.2">
      <c r="B4213" s="20"/>
    </row>
    <row r="4214" spans="2:2" x14ac:dyDescent="0.2">
      <c r="B4214" s="20"/>
    </row>
    <row r="4215" spans="2:2" x14ac:dyDescent="0.2">
      <c r="B4215" s="20"/>
    </row>
    <row r="4216" spans="2:2" x14ac:dyDescent="0.2">
      <c r="B4216" s="20"/>
    </row>
    <row r="4217" spans="2:2" x14ac:dyDescent="0.2">
      <c r="B4217" s="20"/>
    </row>
    <row r="4218" spans="2:2" x14ac:dyDescent="0.2">
      <c r="B4218" s="20"/>
    </row>
    <row r="4219" spans="2:2" x14ac:dyDescent="0.2">
      <c r="B4219" s="20"/>
    </row>
    <row r="4220" spans="2:2" x14ac:dyDescent="0.2">
      <c r="B4220" s="20"/>
    </row>
    <row r="4221" spans="2:2" x14ac:dyDescent="0.2">
      <c r="B4221" s="20"/>
    </row>
    <row r="4222" spans="2:2" x14ac:dyDescent="0.2">
      <c r="B4222" s="20"/>
    </row>
    <row r="4223" spans="2:2" x14ac:dyDescent="0.2">
      <c r="B4223" s="20"/>
    </row>
    <row r="4224" spans="2:2" x14ac:dyDescent="0.2">
      <c r="B4224" s="20"/>
    </row>
    <row r="4225" spans="2:2" x14ac:dyDescent="0.2">
      <c r="B4225" s="20"/>
    </row>
    <row r="4226" spans="2:2" x14ac:dyDescent="0.2">
      <c r="B4226" s="20"/>
    </row>
    <row r="4227" spans="2:2" x14ac:dyDescent="0.2">
      <c r="B4227" s="20"/>
    </row>
    <row r="4228" spans="2:2" x14ac:dyDescent="0.2">
      <c r="B4228" s="20"/>
    </row>
    <row r="4229" spans="2:2" x14ac:dyDescent="0.2">
      <c r="B4229" s="20"/>
    </row>
    <row r="4230" spans="2:2" x14ac:dyDescent="0.2">
      <c r="B4230" s="20"/>
    </row>
    <row r="4231" spans="2:2" x14ac:dyDescent="0.2">
      <c r="B4231" s="20"/>
    </row>
    <row r="4232" spans="2:2" x14ac:dyDescent="0.2">
      <c r="B4232" s="20"/>
    </row>
    <row r="4233" spans="2:2" x14ac:dyDescent="0.2">
      <c r="B4233" s="20"/>
    </row>
    <row r="4234" spans="2:2" x14ac:dyDescent="0.2">
      <c r="B4234" s="20"/>
    </row>
    <row r="4235" spans="2:2" x14ac:dyDescent="0.2">
      <c r="B4235" s="20"/>
    </row>
    <row r="4236" spans="2:2" x14ac:dyDescent="0.2">
      <c r="B4236" s="20"/>
    </row>
    <row r="4237" spans="2:2" x14ac:dyDescent="0.2">
      <c r="B4237" s="20"/>
    </row>
    <row r="4238" spans="2:2" x14ac:dyDescent="0.2">
      <c r="B4238" s="20"/>
    </row>
    <row r="4239" spans="2:2" x14ac:dyDescent="0.2">
      <c r="B4239" s="20"/>
    </row>
    <row r="4240" spans="2:2" x14ac:dyDescent="0.2">
      <c r="B4240" s="20"/>
    </row>
    <row r="4241" spans="2:2" x14ac:dyDescent="0.2">
      <c r="B4241" s="20"/>
    </row>
    <row r="4242" spans="2:2" x14ac:dyDescent="0.2">
      <c r="B4242" s="20"/>
    </row>
    <row r="4243" spans="2:2" x14ac:dyDescent="0.2">
      <c r="B4243" s="20"/>
    </row>
    <row r="4244" spans="2:2" x14ac:dyDescent="0.2">
      <c r="B4244" s="20"/>
    </row>
    <row r="4245" spans="2:2" x14ac:dyDescent="0.2">
      <c r="B4245" s="20"/>
    </row>
    <row r="4246" spans="2:2" x14ac:dyDescent="0.2">
      <c r="B4246" s="20"/>
    </row>
    <row r="4247" spans="2:2" x14ac:dyDescent="0.2">
      <c r="B4247" s="20"/>
    </row>
    <row r="4248" spans="2:2" x14ac:dyDescent="0.2">
      <c r="B4248" s="20"/>
    </row>
    <row r="4249" spans="2:2" x14ac:dyDescent="0.2">
      <c r="B4249" s="20"/>
    </row>
    <row r="4250" spans="2:2" x14ac:dyDescent="0.2">
      <c r="B4250" s="20"/>
    </row>
    <row r="4251" spans="2:2" x14ac:dyDescent="0.2">
      <c r="B4251" s="20"/>
    </row>
    <row r="4252" spans="2:2" x14ac:dyDescent="0.2">
      <c r="B4252" s="20"/>
    </row>
    <row r="4253" spans="2:2" x14ac:dyDescent="0.2">
      <c r="B4253" s="20"/>
    </row>
    <row r="4254" spans="2:2" x14ac:dyDescent="0.2">
      <c r="B4254" s="20"/>
    </row>
    <row r="4255" spans="2:2" x14ac:dyDescent="0.2">
      <c r="B4255" s="20"/>
    </row>
    <row r="4256" spans="2:2" x14ac:dyDescent="0.2">
      <c r="B4256" s="20"/>
    </row>
    <row r="4257" spans="2:2" x14ac:dyDescent="0.2">
      <c r="B4257" s="20"/>
    </row>
    <row r="4258" spans="2:2" x14ac:dyDescent="0.2">
      <c r="B4258" s="20"/>
    </row>
    <row r="4259" spans="2:2" x14ac:dyDescent="0.2">
      <c r="B4259" s="20"/>
    </row>
    <row r="4260" spans="2:2" x14ac:dyDescent="0.2">
      <c r="B4260" s="20"/>
    </row>
    <row r="4261" spans="2:2" x14ac:dyDescent="0.2">
      <c r="B4261" s="20"/>
    </row>
    <row r="4262" spans="2:2" x14ac:dyDescent="0.2">
      <c r="B4262" s="20"/>
    </row>
    <row r="4263" spans="2:2" x14ac:dyDescent="0.2">
      <c r="B4263" s="20"/>
    </row>
    <row r="4264" spans="2:2" x14ac:dyDescent="0.2">
      <c r="B4264" s="20"/>
    </row>
    <row r="4265" spans="2:2" x14ac:dyDescent="0.2">
      <c r="B4265" s="20"/>
    </row>
    <row r="4266" spans="2:2" x14ac:dyDescent="0.2">
      <c r="B4266" s="20"/>
    </row>
    <row r="4267" spans="2:2" x14ac:dyDescent="0.2">
      <c r="B4267" s="20"/>
    </row>
    <row r="4268" spans="2:2" x14ac:dyDescent="0.2">
      <c r="B4268" s="20"/>
    </row>
    <row r="4269" spans="2:2" x14ac:dyDescent="0.2">
      <c r="B4269" s="20"/>
    </row>
    <row r="4270" spans="2:2" x14ac:dyDescent="0.2">
      <c r="B4270" s="20"/>
    </row>
    <row r="4271" spans="2:2" x14ac:dyDescent="0.2">
      <c r="B4271" s="20"/>
    </row>
    <row r="4272" spans="2:2" x14ac:dyDescent="0.2">
      <c r="B4272" s="20"/>
    </row>
    <row r="4273" spans="2:2" x14ac:dyDescent="0.2">
      <c r="B4273" s="20"/>
    </row>
    <row r="4274" spans="2:2" x14ac:dyDescent="0.2">
      <c r="B4274" s="20"/>
    </row>
    <row r="4275" spans="2:2" x14ac:dyDescent="0.2">
      <c r="B4275" s="20"/>
    </row>
    <row r="4276" spans="2:2" x14ac:dyDescent="0.2">
      <c r="B4276" s="20"/>
    </row>
    <row r="4277" spans="2:2" x14ac:dyDescent="0.2">
      <c r="B4277" s="20"/>
    </row>
    <row r="4278" spans="2:2" x14ac:dyDescent="0.2">
      <c r="B4278" s="20"/>
    </row>
    <row r="4279" spans="2:2" x14ac:dyDescent="0.2">
      <c r="B4279" s="20"/>
    </row>
    <row r="4280" spans="2:2" x14ac:dyDescent="0.2">
      <c r="B4280" s="20"/>
    </row>
    <row r="4281" spans="2:2" x14ac:dyDescent="0.2">
      <c r="B4281" s="20"/>
    </row>
    <row r="4282" spans="2:2" x14ac:dyDescent="0.2">
      <c r="B4282" s="20"/>
    </row>
    <row r="4283" spans="2:2" x14ac:dyDescent="0.2">
      <c r="B4283" s="20"/>
    </row>
    <row r="4284" spans="2:2" x14ac:dyDescent="0.2">
      <c r="B4284" s="20"/>
    </row>
    <row r="4285" spans="2:2" x14ac:dyDescent="0.2">
      <c r="B4285" s="20"/>
    </row>
    <row r="4286" spans="2:2" x14ac:dyDescent="0.2">
      <c r="B4286" s="20"/>
    </row>
    <row r="4287" spans="2:2" x14ac:dyDescent="0.2">
      <c r="B4287" s="20"/>
    </row>
    <row r="4288" spans="2:2" x14ac:dyDescent="0.2">
      <c r="B4288" s="20"/>
    </row>
    <row r="4289" spans="2:2" x14ac:dyDescent="0.2">
      <c r="B4289" s="20"/>
    </row>
    <row r="4290" spans="2:2" x14ac:dyDescent="0.2">
      <c r="B4290" s="20"/>
    </row>
    <row r="4291" spans="2:2" x14ac:dyDescent="0.2">
      <c r="B4291" s="20"/>
    </row>
    <row r="4292" spans="2:2" x14ac:dyDescent="0.2">
      <c r="B4292" s="20"/>
    </row>
    <row r="4293" spans="2:2" x14ac:dyDescent="0.2">
      <c r="B4293" s="20"/>
    </row>
    <row r="4294" spans="2:2" x14ac:dyDescent="0.2">
      <c r="B4294" s="20"/>
    </row>
    <row r="4295" spans="2:2" x14ac:dyDescent="0.2">
      <c r="B4295" s="20"/>
    </row>
    <row r="4296" spans="2:2" x14ac:dyDescent="0.2">
      <c r="B4296" s="20"/>
    </row>
    <row r="4297" spans="2:2" x14ac:dyDescent="0.2">
      <c r="B4297" s="20"/>
    </row>
    <row r="4298" spans="2:2" x14ac:dyDescent="0.2">
      <c r="B4298" s="20"/>
    </row>
    <row r="4299" spans="2:2" x14ac:dyDescent="0.2">
      <c r="B4299" s="20"/>
    </row>
    <row r="4300" spans="2:2" x14ac:dyDescent="0.2">
      <c r="B4300" s="20"/>
    </row>
    <row r="4301" spans="2:2" x14ac:dyDescent="0.2">
      <c r="B4301" s="20"/>
    </row>
    <row r="4302" spans="2:2" x14ac:dyDescent="0.2">
      <c r="B4302" s="20"/>
    </row>
    <row r="4303" spans="2:2" x14ac:dyDescent="0.2">
      <c r="B4303" s="20"/>
    </row>
    <row r="4304" spans="2:2" x14ac:dyDescent="0.2">
      <c r="B4304" s="20"/>
    </row>
    <row r="4305" spans="2:2" x14ac:dyDescent="0.2">
      <c r="B4305" s="20"/>
    </row>
    <row r="4306" spans="2:2" x14ac:dyDescent="0.2">
      <c r="B4306" s="20"/>
    </row>
    <row r="4307" spans="2:2" x14ac:dyDescent="0.2">
      <c r="B4307" s="20"/>
    </row>
    <row r="4308" spans="2:2" x14ac:dyDescent="0.2">
      <c r="B4308" s="20"/>
    </row>
    <row r="4309" spans="2:2" x14ac:dyDescent="0.2">
      <c r="B4309" s="20"/>
    </row>
    <row r="4310" spans="2:2" x14ac:dyDescent="0.2">
      <c r="B4310" s="20"/>
    </row>
    <row r="4311" spans="2:2" x14ac:dyDescent="0.2">
      <c r="B4311" s="20"/>
    </row>
    <row r="4312" spans="2:2" x14ac:dyDescent="0.2">
      <c r="B4312" s="20"/>
    </row>
    <row r="4313" spans="2:2" x14ac:dyDescent="0.2">
      <c r="B4313" s="20"/>
    </row>
    <row r="4314" spans="2:2" x14ac:dyDescent="0.2">
      <c r="B4314" s="20"/>
    </row>
    <row r="4315" spans="2:2" x14ac:dyDescent="0.2">
      <c r="B4315" s="20"/>
    </row>
    <row r="4316" spans="2:2" x14ac:dyDescent="0.2">
      <c r="B4316" s="20"/>
    </row>
    <row r="4317" spans="2:2" x14ac:dyDescent="0.2">
      <c r="B4317" s="20"/>
    </row>
    <row r="4318" spans="2:2" x14ac:dyDescent="0.2">
      <c r="B4318" s="20"/>
    </row>
    <row r="4319" spans="2:2" x14ac:dyDescent="0.2">
      <c r="B4319" s="20"/>
    </row>
    <row r="4320" spans="2:2" x14ac:dyDescent="0.2">
      <c r="B4320" s="20"/>
    </row>
    <row r="4321" spans="2:2" x14ac:dyDescent="0.2">
      <c r="B4321" s="20"/>
    </row>
    <row r="4322" spans="2:2" x14ac:dyDescent="0.2">
      <c r="B4322" s="20"/>
    </row>
    <row r="4323" spans="2:2" x14ac:dyDescent="0.2">
      <c r="B4323" s="20"/>
    </row>
    <row r="4324" spans="2:2" x14ac:dyDescent="0.2">
      <c r="B4324" s="20"/>
    </row>
    <row r="4325" spans="2:2" x14ac:dyDescent="0.2">
      <c r="B4325" s="20"/>
    </row>
    <row r="4326" spans="2:2" x14ac:dyDescent="0.2">
      <c r="B4326" s="20"/>
    </row>
    <row r="4327" spans="2:2" x14ac:dyDescent="0.2">
      <c r="B4327" s="20"/>
    </row>
    <row r="4328" spans="2:2" x14ac:dyDescent="0.2">
      <c r="B4328" s="20"/>
    </row>
    <row r="4329" spans="2:2" x14ac:dyDescent="0.2">
      <c r="B4329" s="20"/>
    </row>
    <row r="4330" spans="2:2" x14ac:dyDescent="0.2">
      <c r="B4330" s="20"/>
    </row>
    <row r="4331" spans="2:2" x14ac:dyDescent="0.2">
      <c r="B4331" s="20"/>
    </row>
    <row r="4332" spans="2:2" x14ac:dyDescent="0.2">
      <c r="B4332" s="20"/>
    </row>
    <row r="4333" spans="2:2" x14ac:dyDescent="0.2">
      <c r="B4333" s="20"/>
    </row>
    <row r="4334" spans="2:2" x14ac:dyDescent="0.2">
      <c r="B4334" s="20"/>
    </row>
    <row r="4335" spans="2:2" x14ac:dyDescent="0.2">
      <c r="B4335" s="20"/>
    </row>
    <row r="4336" spans="2:2" x14ac:dyDescent="0.2">
      <c r="B4336" s="20"/>
    </row>
    <row r="4337" spans="2:2" x14ac:dyDescent="0.2">
      <c r="B4337" s="20"/>
    </row>
    <row r="4338" spans="2:2" x14ac:dyDescent="0.2">
      <c r="B4338" s="20"/>
    </row>
    <row r="4339" spans="2:2" x14ac:dyDescent="0.2">
      <c r="B4339" s="20"/>
    </row>
    <row r="4340" spans="2:2" x14ac:dyDescent="0.2">
      <c r="B4340" s="20"/>
    </row>
    <row r="4341" spans="2:2" x14ac:dyDescent="0.2">
      <c r="B4341" s="20"/>
    </row>
    <row r="4342" spans="2:2" x14ac:dyDescent="0.2">
      <c r="B4342" s="20"/>
    </row>
    <row r="4343" spans="2:2" x14ac:dyDescent="0.2">
      <c r="B4343" s="20"/>
    </row>
    <row r="4344" spans="2:2" x14ac:dyDescent="0.2">
      <c r="B4344" s="20"/>
    </row>
    <row r="4345" spans="2:2" x14ac:dyDescent="0.2">
      <c r="B4345" s="20"/>
    </row>
    <row r="4346" spans="2:2" x14ac:dyDescent="0.2">
      <c r="B4346" s="20"/>
    </row>
    <row r="4347" spans="2:2" x14ac:dyDescent="0.2">
      <c r="B4347" s="20"/>
    </row>
    <row r="4348" spans="2:2" x14ac:dyDescent="0.2">
      <c r="B4348" s="20"/>
    </row>
    <row r="4349" spans="2:2" x14ac:dyDescent="0.2">
      <c r="B4349" s="20"/>
    </row>
    <row r="4350" spans="2:2" x14ac:dyDescent="0.2">
      <c r="B4350" s="20"/>
    </row>
    <row r="4351" spans="2:2" x14ac:dyDescent="0.2">
      <c r="B4351" s="20"/>
    </row>
    <row r="4352" spans="2:2" x14ac:dyDescent="0.2">
      <c r="B4352" s="20"/>
    </row>
    <row r="4353" spans="2:2" x14ac:dyDescent="0.2">
      <c r="B4353" s="20"/>
    </row>
    <row r="4354" spans="2:2" x14ac:dyDescent="0.2">
      <c r="B4354" s="20"/>
    </row>
    <row r="4355" spans="2:2" x14ac:dyDescent="0.2">
      <c r="B4355" s="20"/>
    </row>
    <row r="4356" spans="2:2" x14ac:dyDescent="0.2">
      <c r="B4356" s="20"/>
    </row>
    <row r="4357" spans="2:2" x14ac:dyDescent="0.2">
      <c r="B4357" s="20"/>
    </row>
    <row r="4358" spans="2:2" x14ac:dyDescent="0.2">
      <c r="B4358" s="20"/>
    </row>
    <row r="4359" spans="2:2" x14ac:dyDescent="0.2">
      <c r="B4359" s="20"/>
    </row>
    <row r="4360" spans="2:2" x14ac:dyDescent="0.2">
      <c r="B4360" s="20"/>
    </row>
    <row r="4361" spans="2:2" x14ac:dyDescent="0.2">
      <c r="B4361" s="20"/>
    </row>
    <row r="4362" spans="2:2" x14ac:dyDescent="0.2">
      <c r="B4362" s="20"/>
    </row>
    <row r="4363" spans="2:2" x14ac:dyDescent="0.2">
      <c r="B4363" s="20"/>
    </row>
    <row r="4364" spans="2:2" x14ac:dyDescent="0.2">
      <c r="B4364" s="20"/>
    </row>
    <row r="4365" spans="2:2" x14ac:dyDescent="0.2">
      <c r="B4365" s="20"/>
    </row>
    <row r="4366" spans="2:2" x14ac:dyDescent="0.2">
      <c r="B4366" s="20"/>
    </row>
    <row r="4367" spans="2:2" x14ac:dyDescent="0.2">
      <c r="B4367" s="20"/>
    </row>
    <row r="4368" spans="2:2" x14ac:dyDescent="0.2">
      <c r="B4368" s="20"/>
    </row>
    <row r="4369" spans="2:2" x14ac:dyDescent="0.2">
      <c r="B4369" s="20"/>
    </row>
    <row r="4370" spans="2:2" x14ac:dyDescent="0.2">
      <c r="B4370" s="20"/>
    </row>
    <row r="4371" spans="2:2" x14ac:dyDescent="0.2">
      <c r="B4371" s="20"/>
    </row>
    <row r="4372" spans="2:2" x14ac:dyDescent="0.2">
      <c r="B4372" s="20"/>
    </row>
    <row r="4373" spans="2:2" x14ac:dyDescent="0.2">
      <c r="B4373" s="20"/>
    </row>
    <row r="4374" spans="2:2" x14ac:dyDescent="0.2">
      <c r="B4374" s="20"/>
    </row>
    <row r="4375" spans="2:2" x14ac:dyDescent="0.2">
      <c r="B4375" s="20"/>
    </row>
    <row r="4376" spans="2:2" x14ac:dyDescent="0.2">
      <c r="B4376" s="20"/>
    </row>
    <row r="4377" spans="2:2" x14ac:dyDescent="0.2">
      <c r="B4377" s="20"/>
    </row>
    <row r="4378" spans="2:2" x14ac:dyDescent="0.2">
      <c r="B4378" s="20"/>
    </row>
    <row r="4379" spans="2:2" x14ac:dyDescent="0.2">
      <c r="B4379" s="20"/>
    </row>
    <row r="4380" spans="2:2" x14ac:dyDescent="0.2">
      <c r="B4380" s="20"/>
    </row>
    <row r="4381" spans="2:2" x14ac:dyDescent="0.2">
      <c r="B4381" s="20"/>
    </row>
    <row r="4382" spans="2:2" x14ac:dyDescent="0.2">
      <c r="B4382" s="20"/>
    </row>
    <row r="4383" spans="2:2" x14ac:dyDescent="0.2">
      <c r="B4383" s="20"/>
    </row>
    <row r="4384" spans="2:2" x14ac:dyDescent="0.2">
      <c r="B4384" s="20"/>
    </row>
    <row r="4385" spans="2:2" x14ac:dyDescent="0.2">
      <c r="B4385" s="20"/>
    </row>
    <row r="4386" spans="2:2" x14ac:dyDescent="0.2">
      <c r="B4386" s="20"/>
    </row>
    <row r="4387" spans="2:2" x14ac:dyDescent="0.2">
      <c r="B4387" s="20"/>
    </row>
    <row r="4388" spans="2:2" x14ac:dyDescent="0.2">
      <c r="B4388" s="20"/>
    </row>
    <row r="4389" spans="2:2" x14ac:dyDescent="0.2">
      <c r="B4389" s="20"/>
    </row>
    <row r="4390" spans="2:2" x14ac:dyDescent="0.2">
      <c r="B4390" s="20"/>
    </row>
    <row r="4391" spans="2:2" x14ac:dyDescent="0.2">
      <c r="B4391" s="20"/>
    </row>
    <row r="4392" spans="2:2" x14ac:dyDescent="0.2">
      <c r="B4392" s="20"/>
    </row>
    <row r="4393" spans="2:2" x14ac:dyDescent="0.2">
      <c r="B4393" s="20"/>
    </row>
    <row r="4394" spans="2:2" x14ac:dyDescent="0.2">
      <c r="B4394" s="20"/>
    </row>
    <row r="4395" spans="2:2" x14ac:dyDescent="0.2">
      <c r="B4395" s="20"/>
    </row>
    <row r="4396" spans="2:2" x14ac:dyDescent="0.2">
      <c r="B4396" s="20"/>
    </row>
    <row r="4397" spans="2:2" x14ac:dyDescent="0.2">
      <c r="B4397" s="20"/>
    </row>
    <row r="4398" spans="2:2" x14ac:dyDescent="0.2">
      <c r="B4398" s="20"/>
    </row>
    <row r="4399" spans="2:2" x14ac:dyDescent="0.2">
      <c r="B4399" s="20"/>
    </row>
    <row r="4400" spans="2:2" x14ac:dyDescent="0.2">
      <c r="B4400" s="20"/>
    </row>
    <row r="4401" spans="2:2" x14ac:dyDescent="0.2">
      <c r="B4401" s="20"/>
    </row>
    <row r="4402" spans="2:2" x14ac:dyDescent="0.2">
      <c r="B4402" s="20"/>
    </row>
    <row r="4403" spans="2:2" x14ac:dyDescent="0.2">
      <c r="B4403" s="20"/>
    </row>
    <row r="4404" spans="2:2" x14ac:dyDescent="0.2">
      <c r="B4404" s="20"/>
    </row>
    <row r="4405" spans="2:2" x14ac:dyDescent="0.2">
      <c r="B4405" s="20"/>
    </row>
    <row r="4406" spans="2:2" x14ac:dyDescent="0.2">
      <c r="B4406" s="20"/>
    </row>
    <row r="4407" spans="2:2" x14ac:dyDescent="0.2">
      <c r="B4407" s="20"/>
    </row>
    <row r="4408" spans="2:2" x14ac:dyDescent="0.2">
      <c r="B4408" s="20"/>
    </row>
    <row r="4409" spans="2:2" x14ac:dyDescent="0.2">
      <c r="B4409" s="20"/>
    </row>
    <row r="4410" spans="2:2" x14ac:dyDescent="0.2">
      <c r="B4410" s="20"/>
    </row>
    <row r="4411" spans="2:2" x14ac:dyDescent="0.2">
      <c r="B4411" s="20"/>
    </row>
    <row r="4412" spans="2:2" x14ac:dyDescent="0.2">
      <c r="B4412" s="20"/>
    </row>
    <row r="4413" spans="2:2" x14ac:dyDescent="0.2">
      <c r="B4413" s="20"/>
    </row>
    <row r="4414" spans="2:2" x14ac:dyDescent="0.2">
      <c r="B4414" s="20"/>
    </row>
    <row r="4415" spans="2:2" x14ac:dyDescent="0.2">
      <c r="B4415" s="20"/>
    </row>
    <row r="4416" spans="2:2" x14ac:dyDescent="0.2">
      <c r="B4416" s="20"/>
    </row>
    <row r="4417" spans="2:2" x14ac:dyDescent="0.2">
      <c r="B4417" s="20"/>
    </row>
    <row r="4418" spans="2:2" x14ac:dyDescent="0.2">
      <c r="B4418" s="20"/>
    </row>
    <row r="4419" spans="2:2" x14ac:dyDescent="0.2">
      <c r="B4419" s="20"/>
    </row>
    <row r="4420" spans="2:2" x14ac:dyDescent="0.2">
      <c r="B4420" s="20"/>
    </row>
    <row r="4421" spans="2:2" x14ac:dyDescent="0.2">
      <c r="B4421" s="20"/>
    </row>
    <row r="4422" spans="2:2" x14ac:dyDescent="0.2">
      <c r="B4422" s="20"/>
    </row>
    <row r="4423" spans="2:2" x14ac:dyDescent="0.2">
      <c r="B4423" s="20"/>
    </row>
    <row r="4424" spans="2:2" x14ac:dyDescent="0.2">
      <c r="B4424" s="20"/>
    </row>
    <row r="4425" spans="2:2" x14ac:dyDescent="0.2">
      <c r="B4425" s="20"/>
    </row>
    <row r="4426" spans="2:2" x14ac:dyDescent="0.2">
      <c r="B4426" s="20"/>
    </row>
    <row r="4427" spans="2:2" x14ac:dyDescent="0.2">
      <c r="B4427" s="20"/>
    </row>
    <row r="4428" spans="2:2" x14ac:dyDescent="0.2">
      <c r="B4428" s="20"/>
    </row>
    <row r="4429" spans="2:2" x14ac:dyDescent="0.2">
      <c r="B4429" s="20"/>
    </row>
    <row r="4430" spans="2:2" x14ac:dyDescent="0.2">
      <c r="B4430" s="20"/>
    </row>
    <row r="4431" spans="2:2" x14ac:dyDescent="0.2">
      <c r="B4431" s="20"/>
    </row>
    <row r="4432" spans="2:2" x14ac:dyDescent="0.2">
      <c r="B4432" s="20"/>
    </row>
    <row r="4433" spans="2:2" x14ac:dyDescent="0.2">
      <c r="B4433" s="20"/>
    </row>
    <row r="4434" spans="2:2" x14ac:dyDescent="0.2">
      <c r="B4434" s="20"/>
    </row>
    <row r="4435" spans="2:2" x14ac:dyDescent="0.2">
      <c r="B4435" s="20"/>
    </row>
    <row r="4436" spans="2:2" x14ac:dyDescent="0.2">
      <c r="B4436" s="20"/>
    </row>
    <row r="4437" spans="2:2" x14ac:dyDescent="0.2">
      <c r="B4437" s="20"/>
    </row>
    <row r="4438" spans="2:2" x14ac:dyDescent="0.2">
      <c r="B4438" s="20"/>
    </row>
    <row r="4439" spans="2:2" x14ac:dyDescent="0.2">
      <c r="B4439" s="20"/>
    </row>
    <row r="4440" spans="2:2" x14ac:dyDescent="0.2">
      <c r="B4440" s="20"/>
    </row>
    <row r="4441" spans="2:2" x14ac:dyDescent="0.2">
      <c r="B4441" s="20"/>
    </row>
    <row r="4442" spans="2:2" x14ac:dyDescent="0.2">
      <c r="B4442" s="20"/>
    </row>
    <row r="4443" spans="2:2" x14ac:dyDescent="0.2">
      <c r="B4443" s="20"/>
    </row>
    <row r="4444" spans="2:2" x14ac:dyDescent="0.2">
      <c r="B4444" s="20"/>
    </row>
    <row r="4445" spans="2:2" x14ac:dyDescent="0.2">
      <c r="B4445" s="20"/>
    </row>
    <row r="4446" spans="2:2" x14ac:dyDescent="0.2">
      <c r="B4446" s="20"/>
    </row>
    <row r="4447" spans="2:2" x14ac:dyDescent="0.2">
      <c r="B4447" s="20"/>
    </row>
    <row r="4448" spans="2:2" x14ac:dyDescent="0.2">
      <c r="B4448" s="20"/>
    </row>
    <row r="4449" spans="2:2" x14ac:dyDescent="0.2">
      <c r="B4449" s="20"/>
    </row>
    <row r="4450" spans="2:2" x14ac:dyDescent="0.2">
      <c r="B4450" s="20"/>
    </row>
    <row r="4451" spans="2:2" x14ac:dyDescent="0.2">
      <c r="B4451" s="20"/>
    </row>
    <row r="4452" spans="2:2" x14ac:dyDescent="0.2">
      <c r="B4452" s="20"/>
    </row>
    <row r="4453" spans="2:2" x14ac:dyDescent="0.2">
      <c r="B4453" s="20"/>
    </row>
    <row r="4454" spans="2:2" x14ac:dyDescent="0.2">
      <c r="B4454" s="20"/>
    </row>
    <row r="4455" spans="2:2" x14ac:dyDescent="0.2">
      <c r="B4455" s="20"/>
    </row>
    <row r="4456" spans="2:2" x14ac:dyDescent="0.2">
      <c r="B4456" s="20"/>
    </row>
    <row r="4457" spans="2:2" x14ac:dyDescent="0.2">
      <c r="B4457" s="20"/>
    </row>
    <row r="4458" spans="2:2" x14ac:dyDescent="0.2">
      <c r="B4458" s="20"/>
    </row>
    <row r="4459" spans="2:2" x14ac:dyDescent="0.2">
      <c r="B4459" s="20"/>
    </row>
    <row r="4460" spans="2:2" x14ac:dyDescent="0.2">
      <c r="B4460" s="20"/>
    </row>
    <row r="4461" spans="2:2" x14ac:dyDescent="0.2">
      <c r="B4461" s="20"/>
    </row>
    <row r="4462" spans="2:2" x14ac:dyDescent="0.2">
      <c r="B4462" s="20"/>
    </row>
    <row r="4463" spans="2:2" x14ac:dyDescent="0.2">
      <c r="B4463" s="20"/>
    </row>
    <row r="4464" spans="2:2" x14ac:dyDescent="0.2">
      <c r="B4464" s="20"/>
    </row>
    <row r="4465" spans="2:2" x14ac:dyDescent="0.2">
      <c r="B4465" s="20"/>
    </row>
    <row r="4466" spans="2:2" x14ac:dyDescent="0.2">
      <c r="B4466" s="20"/>
    </row>
    <row r="4467" spans="2:2" x14ac:dyDescent="0.2">
      <c r="B4467" s="20"/>
    </row>
    <row r="4468" spans="2:2" x14ac:dyDescent="0.2">
      <c r="B4468" s="20"/>
    </row>
    <row r="4469" spans="2:2" x14ac:dyDescent="0.2">
      <c r="B4469" s="20"/>
    </row>
    <row r="4470" spans="2:2" x14ac:dyDescent="0.2">
      <c r="B4470" s="20"/>
    </row>
    <row r="4471" spans="2:2" x14ac:dyDescent="0.2">
      <c r="B4471" s="20"/>
    </row>
    <row r="4472" spans="2:2" x14ac:dyDescent="0.2">
      <c r="B4472" s="20"/>
    </row>
    <row r="4473" spans="2:2" x14ac:dyDescent="0.2">
      <c r="B4473" s="20"/>
    </row>
    <row r="4474" spans="2:2" x14ac:dyDescent="0.2">
      <c r="B4474" s="20"/>
    </row>
    <row r="4475" spans="2:2" x14ac:dyDescent="0.2">
      <c r="B4475" s="20"/>
    </row>
    <row r="4476" spans="2:2" x14ac:dyDescent="0.2">
      <c r="B4476" s="20"/>
    </row>
    <row r="4477" spans="2:2" x14ac:dyDescent="0.2">
      <c r="B4477" s="20"/>
    </row>
    <row r="4478" spans="2:2" x14ac:dyDescent="0.2">
      <c r="B4478" s="20"/>
    </row>
    <row r="4479" spans="2:2" x14ac:dyDescent="0.2">
      <c r="B4479" s="20"/>
    </row>
    <row r="4480" spans="2:2" x14ac:dyDescent="0.2">
      <c r="B4480" s="20"/>
    </row>
    <row r="4481" spans="2:2" x14ac:dyDescent="0.2">
      <c r="B4481" s="20"/>
    </row>
    <row r="4482" spans="2:2" x14ac:dyDescent="0.2">
      <c r="B4482" s="20"/>
    </row>
    <row r="4483" spans="2:2" x14ac:dyDescent="0.2">
      <c r="B4483" s="20"/>
    </row>
    <row r="4484" spans="2:2" x14ac:dyDescent="0.2">
      <c r="B4484" s="20"/>
    </row>
    <row r="4485" spans="2:2" x14ac:dyDescent="0.2">
      <c r="B4485" s="20"/>
    </row>
    <row r="4486" spans="2:2" x14ac:dyDescent="0.2">
      <c r="B4486" s="20"/>
    </row>
    <row r="4487" spans="2:2" x14ac:dyDescent="0.2">
      <c r="B4487" s="20"/>
    </row>
    <row r="4488" spans="2:2" x14ac:dyDescent="0.2">
      <c r="B4488" s="20"/>
    </row>
    <row r="4489" spans="2:2" x14ac:dyDescent="0.2">
      <c r="B4489" s="20"/>
    </row>
    <row r="4490" spans="2:2" x14ac:dyDescent="0.2">
      <c r="B4490" s="20"/>
    </row>
    <row r="4491" spans="2:2" x14ac:dyDescent="0.2">
      <c r="B4491" s="20"/>
    </row>
    <row r="4492" spans="2:2" x14ac:dyDescent="0.2">
      <c r="B4492" s="20"/>
    </row>
    <row r="4493" spans="2:2" x14ac:dyDescent="0.2">
      <c r="B4493" s="20"/>
    </row>
    <row r="4494" spans="2:2" x14ac:dyDescent="0.2">
      <c r="B4494" s="20"/>
    </row>
    <row r="4495" spans="2:2" x14ac:dyDescent="0.2">
      <c r="B4495" s="20"/>
    </row>
    <row r="4496" spans="2:2" x14ac:dyDescent="0.2">
      <c r="B4496" s="20"/>
    </row>
    <row r="4497" spans="2:2" x14ac:dyDescent="0.2">
      <c r="B4497" s="20"/>
    </row>
    <row r="4498" spans="2:2" x14ac:dyDescent="0.2">
      <c r="B4498" s="20"/>
    </row>
    <row r="4499" spans="2:2" x14ac:dyDescent="0.2">
      <c r="B4499" s="20"/>
    </row>
    <row r="4500" spans="2:2" x14ac:dyDescent="0.2">
      <c r="B4500" s="20"/>
    </row>
    <row r="4501" spans="2:2" x14ac:dyDescent="0.2">
      <c r="B4501" s="20"/>
    </row>
    <row r="4502" spans="2:2" x14ac:dyDescent="0.2">
      <c r="B4502" s="20"/>
    </row>
    <row r="4503" spans="2:2" x14ac:dyDescent="0.2">
      <c r="B4503" s="20"/>
    </row>
    <row r="4504" spans="2:2" x14ac:dyDescent="0.2">
      <c r="B4504" s="20"/>
    </row>
    <row r="4505" spans="2:2" x14ac:dyDescent="0.2">
      <c r="B4505" s="20"/>
    </row>
    <row r="4506" spans="2:2" x14ac:dyDescent="0.2">
      <c r="B4506" s="20"/>
    </row>
    <row r="4507" spans="2:2" x14ac:dyDescent="0.2">
      <c r="B4507" s="20"/>
    </row>
    <row r="4508" spans="2:2" x14ac:dyDescent="0.2">
      <c r="B4508" s="20"/>
    </row>
    <row r="4509" spans="2:2" x14ac:dyDescent="0.2">
      <c r="B4509" s="20"/>
    </row>
    <row r="4510" spans="2:2" x14ac:dyDescent="0.2">
      <c r="B4510" s="20"/>
    </row>
    <row r="4511" spans="2:2" x14ac:dyDescent="0.2">
      <c r="B4511" s="20"/>
    </row>
    <row r="4512" spans="2:2" x14ac:dyDescent="0.2">
      <c r="B4512" s="20"/>
    </row>
    <row r="4513" spans="2:2" x14ac:dyDescent="0.2">
      <c r="B4513" s="20"/>
    </row>
    <row r="4514" spans="2:2" x14ac:dyDescent="0.2">
      <c r="B4514" s="20"/>
    </row>
    <row r="4515" spans="2:2" x14ac:dyDescent="0.2">
      <c r="B4515" s="20"/>
    </row>
    <row r="4516" spans="2:2" x14ac:dyDescent="0.2">
      <c r="B4516" s="20"/>
    </row>
    <row r="4517" spans="2:2" x14ac:dyDescent="0.2">
      <c r="B4517" s="20"/>
    </row>
    <row r="4518" spans="2:2" x14ac:dyDescent="0.2">
      <c r="B4518" s="20"/>
    </row>
    <row r="4519" spans="2:2" x14ac:dyDescent="0.2">
      <c r="B4519" s="20"/>
    </row>
    <row r="4520" spans="2:2" x14ac:dyDescent="0.2">
      <c r="B4520" s="20"/>
    </row>
    <row r="4521" spans="2:2" x14ac:dyDescent="0.2">
      <c r="B4521" s="20"/>
    </row>
    <row r="4522" spans="2:2" x14ac:dyDescent="0.2">
      <c r="B4522" s="20"/>
    </row>
    <row r="4523" spans="2:2" x14ac:dyDescent="0.2">
      <c r="B4523" s="20"/>
    </row>
    <row r="4524" spans="2:2" x14ac:dyDescent="0.2">
      <c r="B4524" s="20"/>
    </row>
    <row r="4525" spans="2:2" x14ac:dyDescent="0.2">
      <c r="B4525" s="20"/>
    </row>
    <row r="4526" spans="2:2" x14ac:dyDescent="0.2">
      <c r="B4526" s="20"/>
    </row>
    <row r="4527" spans="2:2" x14ac:dyDescent="0.2">
      <c r="B4527" s="20"/>
    </row>
    <row r="4528" spans="2:2" x14ac:dyDescent="0.2">
      <c r="B4528" s="20"/>
    </row>
    <row r="4529" spans="2:2" x14ac:dyDescent="0.2">
      <c r="B4529" s="20"/>
    </row>
    <row r="4530" spans="2:2" x14ac:dyDescent="0.2">
      <c r="B4530" s="20"/>
    </row>
    <row r="4531" spans="2:2" x14ac:dyDescent="0.2">
      <c r="B4531" s="20"/>
    </row>
    <row r="4532" spans="2:2" x14ac:dyDescent="0.2">
      <c r="B4532" s="20"/>
    </row>
    <row r="4533" spans="2:2" x14ac:dyDescent="0.2">
      <c r="B4533" s="20"/>
    </row>
    <row r="4534" spans="2:2" x14ac:dyDescent="0.2">
      <c r="B4534" s="20"/>
    </row>
    <row r="4535" spans="2:2" x14ac:dyDescent="0.2">
      <c r="B4535" s="20"/>
    </row>
    <row r="4536" spans="2:2" x14ac:dyDescent="0.2">
      <c r="B4536" s="20"/>
    </row>
    <row r="4537" spans="2:2" x14ac:dyDescent="0.2">
      <c r="B4537" s="20"/>
    </row>
    <row r="4538" spans="2:2" x14ac:dyDescent="0.2">
      <c r="B4538" s="20"/>
    </row>
    <row r="4539" spans="2:2" x14ac:dyDescent="0.2">
      <c r="B4539" s="20"/>
    </row>
    <row r="4540" spans="2:2" x14ac:dyDescent="0.2">
      <c r="B4540" s="20"/>
    </row>
    <row r="4541" spans="2:2" x14ac:dyDescent="0.2">
      <c r="B4541" s="20"/>
    </row>
    <row r="4542" spans="2:2" x14ac:dyDescent="0.2">
      <c r="B4542" s="20"/>
    </row>
    <row r="4543" spans="2:2" x14ac:dyDescent="0.2">
      <c r="B4543" s="20"/>
    </row>
    <row r="4544" spans="2:2" x14ac:dyDescent="0.2">
      <c r="B4544" s="20"/>
    </row>
    <row r="4545" spans="2:2" x14ac:dyDescent="0.2">
      <c r="B4545" s="20"/>
    </row>
    <row r="4546" spans="2:2" x14ac:dyDescent="0.2">
      <c r="B4546" s="20"/>
    </row>
    <row r="4547" spans="2:2" x14ac:dyDescent="0.2">
      <c r="B4547" s="20"/>
    </row>
    <row r="4548" spans="2:2" x14ac:dyDescent="0.2">
      <c r="B4548" s="20"/>
    </row>
    <row r="4549" spans="2:2" x14ac:dyDescent="0.2">
      <c r="B4549" s="20"/>
    </row>
    <row r="4550" spans="2:2" x14ac:dyDescent="0.2">
      <c r="B4550" s="20"/>
    </row>
    <row r="4551" spans="2:2" x14ac:dyDescent="0.2">
      <c r="B4551" s="20"/>
    </row>
    <row r="4552" spans="2:2" x14ac:dyDescent="0.2">
      <c r="B4552" s="20"/>
    </row>
    <row r="4553" spans="2:2" x14ac:dyDescent="0.2">
      <c r="B4553" s="20"/>
    </row>
    <row r="4554" spans="2:2" x14ac:dyDescent="0.2">
      <c r="B4554" s="20"/>
    </row>
    <row r="4555" spans="2:2" x14ac:dyDescent="0.2">
      <c r="B4555" s="20"/>
    </row>
    <row r="4556" spans="2:2" x14ac:dyDescent="0.2">
      <c r="B4556" s="20"/>
    </row>
    <row r="4557" spans="2:2" x14ac:dyDescent="0.2">
      <c r="B4557" s="20"/>
    </row>
    <row r="4558" spans="2:2" x14ac:dyDescent="0.2">
      <c r="B4558" s="20"/>
    </row>
    <row r="4559" spans="2:2" x14ac:dyDescent="0.2">
      <c r="B4559" s="20"/>
    </row>
    <row r="4560" spans="2:2" x14ac:dyDescent="0.2">
      <c r="B4560" s="20"/>
    </row>
    <row r="4561" spans="2:2" x14ac:dyDescent="0.2">
      <c r="B4561" s="20"/>
    </row>
    <row r="4562" spans="2:2" x14ac:dyDescent="0.2">
      <c r="B4562" s="20"/>
    </row>
    <row r="4563" spans="2:2" x14ac:dyDescent="0.2">
      <c r="B4563" s="20"/>
    </row>
    <row r="4564" spans="2:2" x14ac:dyDescent="0.2">
      <c r="B4564" s="20"/>
    </row>
    <row r="4565" spans="2:2" x14ac:dyDescent="0.2">
      <c r="B4565" s="20"/>
    </row>
    <row r="4566" spans="2:2" x14ac:dyDescent="0.2">
      <c r="B4566" s="20"/>
    </row>
    <row r="4567" spans="2:2" x14ac:dyDescent="0.2">
      <c r="B4567" s="20"/>
    </row>
    <row r="4568" spans="2:2" x14ac:dyDescent="0.2">
      <c r="B4568" s="20"/>
    </row>
    <row r="4569" spans="2:2" x14ac:dyDescent="0.2">
      <c r="B4569" s="20"/>
    </row>
    <row r="4570" spans="2:2" x14ac:dyDescent="0.2">
      <c r="B4570" s="20"/>
    </row>
    <row r="4571" spans="2:2" x14ac:dyDescent="0.2">
      <c r="B4571" s="20"/>
    </row>
    <row r="4572" spans="2:2" x14ac:dyDescent="0.2">
      <c r="B4572" s="20"/>
    </row>
    <row r="4573" spans="2:2" x14ac:dyDescent="0.2">
      <c r="B4573" s="20"/>
    </row>
    <row r="4574" spans="2:2" x14ac:dyDescent="0.2">
      <c r="B4574" s="20"/>
    </row>
    <row r="4575" spans="2:2" x14ac:dyDescent="0.2">
      <c r="B4575" s="20"/>
    </row>
    <row r="4576" spans="2:2" x14ac:dyDescent="0.2">
      <c r="B4576" s="20"/>
    </row>
    <row r="4577" spans="2:2" x14ac:dyDescent="0.2">
      <c r="B4577" s="20"/>
    </row>
    <row r="4578" spans="2:2" x14ac:dyDescent="0.2">
      <c r="B4578" s="20"/>
    </row>
    <row r="4579" spans="2:2" x14ac:dyDescent="0.2">
      <c r="B4579" s="20"/>
    </row>
    <row r="4580" spans="2:2" x14ac:dyDescent="0.2">
      <c r="B4580" s="20"/>
    </row>
    <row r="4581" spans="2:2" x14ac:dyDescent="0.2">
      <c r="B4581" s="20"/>
    </row>
    <row r="4582" spans="2:2" x14ac:dyDescent="0.2">
      <c r="B4582" s="20"/>
    </row>
    <row r="4583" spans="2:2" x14ac:dyDescent="0.2">
      <c r="B4583" s="20"/>
    </row>
    <row r="4584" spans="2:2" x14ac:dyDescent="0.2">
      <c r="B4584" s="20"/>
    </row>
    <row r="4585" spans="2:2" x14ac:dyDescent="0.2">
      <c r="B4585" s="20"/>
    </row>
    <row r="4586" spans="2:2" x14ac:dyDescent="0.2">
      <c r="B4586" s="20"/>
    </row>
    <row r="4587" spans="2:2" x14ac:dyDescent="0.2">
      <c r="B4587" s="20"/>
    </row>
    <row r="4588" spans="2:2" x14ac:dyDescent="0.2">
      <c r="B4588" s="20"/>
    </row>
    <row r="4589" spans="2:2" x14ac:dyDescent="0.2">
      <c r="B4589" s="20"/>
    </row>
    <row r="4590" spans="2:2" x14ac:dyDescent="0.2">
      <c r="B4590" s="20"/>
    </row>
    <row r="4591" spans="2:2" x14ac:dyDescent="0.2">
      <c r="B4591" s="20"/>
    </row>
    <row r="4592" spans="2:2" x14ac:dyDescent="0.2">
      <c r="B4592" s="20"/>
    </row>
    <row r="4593" spans="2:2" x14ac:dyDescent="0.2">
      <c r="B4593" s="20"/>
    </row>
    <row r="4594" spans="2:2" x14ac:dyDescent="0.2">
      <c r="B4594" s="20"/>
    </row>
    <row r="4595" spans="2:2" x14ac:dyDescent="0.2">
      <c r="B4595" s="20"/>
    </row>
    <row r="4596" spans="2:2" x14ac:dyDescent="0.2">
      <c r="B4596" s="20"/>
    </row>
    <row r="4597" spans="2:2" x14ac:dyDescent="0.2">
      <c r="B4597" s="20"/>
    </row>
    <row r="4598" spans="2:2" x14ac:dyDescent="0.2">
      <c r="B4598" s="20"/>
    </row>
    <row r="4599" spans="2:2" x14ac:dyDescent="0.2">
      <c r="B4599" s="20"/>
    </row>
    <row r="4600" spans="2:2" x14ac:dyDescent="0.2">
      <c r="B4600" s="20"/>
    </row>
    <row r="4601" spans="2:2" x14ac:dyDescent="0.2">
      <c r="B4601" s="20"/>
    </row>
    <row r="4602" spans="2:2" x14ac:dyDescent="0.2">
      <c r="B4602" s="20"/>
    </row>
    <row r="4603" spans="2:2" x14ac:dyDescent="0.2">
      <c r="B4603" s="20"/>
    </row>
    <row r="4604" spans="2:2" x14ac:dyDescent="0.2">
      <c r="B4604" s="20"/>
    </row>
    <row r="4605" spans="2:2" x14ac:dyDescent="0.2">
      <c r="B4605" s="20"/>
    </row>
    <row r="4606" spans="2:2" x14ac:dyDescent="0.2">
      <c r="B4606" s="20"/>
    </row>
    <row r="4607" spans="2:2" x14ac:dyDescent="0.2">
      <c r="B4607" s="20"/>
    </row>
    <row r="4608" spans="2:2" x14ac:dyDescent="0.2">
      <c r="B4608" s="20"/>
    </row>
    <row r="4609" spans="2:2" x14ac:dyDescent="0.2">
      <c r="B4609" s="20"/>
    </row>
    <row r="4610" spans="2:2" x14ac:dyDescent="0.2">
      <c r="B4610" s="20"/>
    </row>
    <row r="4611" spans="2:2" x14ac:dyDescent="0.2">
      <c r="B4611" s="20"/>
    </row>
    <row r="4612" spans="2:2" x14ac:dyDescent="0.2">
      <c r="B4612" s="20"/>
    </row>
    <row r="4613" spans="2:2" x14ac:dyDescent="0.2">
      <c r="B4613" s="20"/>
    </row>
    <row r="4614" spans="2:2" x14ac:dyDescent="0.2">
      <c r="B4614" s="20"/>
    </row>
    <row r="4615" spans="2:2" x14ac:dyDescent="0.2">
      <c r="B4615" s="20"/>
    </row>
    <row r="4616" spans="2:2" x14ac:dyDescent="0.2">
      <c r="B4616" s="20"/>
    </row>
    <row r="4617" spans="2:2" x14ac:dyDescent="0.2">
      <c r="B4617" s="20"/>
    </row>
    <row r="4618" spans="2:2" x14ac:dyDescent="0.2">
      <c r="B4618" s="20"/>
    </row>
    <row r="4619" spans="2:2" x14ac:dyDescent="0.2">
      <c r="B4619" s="20"/>
    </row>
    <row r="4620" spans="2:2" x14ac:dyDescent="0.2">
      <c r="B4620" s="20"/>
    </row>
    <row r="4621" spans="2:2" x14ac:dyDescent="0.2">
      <c r="B4621" s="20"/>
    </row>
    <row r="4622" spans="2:2" x14ac:dyDescent="0.2">
      <c r="B4622" s="20"/>
    </row>
    <row r="4623" spans="2:2" x14ac:dyDescent="0.2">
      <c r="B4623" s="20"/>
    </row>
    <row r="4624" spans="2:2" x14ac:dyDescent="0.2">
      <c r="B4624" s="20"/>
    </row>
    <row r="4625" spans="2:2" x14ac:dyDescent="0.2">
      <c r="B4625" s="20"/>
    </row>
    <row r="4626" spans="2:2" x14ac:dyDescent="0.2">
      <c r="B4626" s="20"/>
    </row>
    <row r="4627" spans="2:2" x14ac:dyDescent="0.2">
      <c r="B4627" s="20"/>
    </row>
    <row r="4628" spans="2:2" x14ac:dyDescent="0.2">
      <c r="B4628" s="20"/>
    </row>
    <row r="4629" spans="2:2" x14ac:dyDescent="0.2">
      <c r="B4629" s="20"/>
    </row>
    <row r="4630" spans="2:2" x14ac:dyDescent="0.2">
      <c r="B4630" s="20"/>
    </row>
    <row r="4631" spans="2:2" x14ac:dyDescent="0.2">
      <c r="B4631" s="20"/>
    </row>
    <row r="4632" spans="2:2" x14ac:dyDescent="0.2">
      <c r="B4632" s="20"/>
    </row>
    <row r="4633" spans="2:2" x14ac:dyDescent="0.2">
      <c r="B4633" s="20"/>
    </row>
    <row r="4634" spans="2:2" x14ac:dyDescent="0.2">
      <c r="B4634" s="20"/>
    </row>
    <row r="4635" spans="2:2" x14ac:dyDescent="0.2">
      <c r="B4635" s="20"/>
    </row>
    <row r="4636" spans="2:2" x14ac:dyDescent="0.2">
      <c r="B4636" s="20"/>
    </row>
    <row r="4637" spans="2:2" x14ac:dyDescent="0.2">
      <c r="B4637" s="20"/>
    </row>
    <row r="4638" spans="2:2" x14ac:dyDescent="0.2">
      <c r="B4638" s="20"/>
    </row>
    <row r="4639" spans="2:2" x14ac:dyDescent="0.2">
      <c r="B4639" s="20"/>
    </row>
    <row r="4640" spans="2:2" x14ac:dyDescent="0.2">
      <c r="B4640" s="20"/>
    </row>
    <row r="4641" spans="2:2" x14ac:dyDescent="0.2">
      <c r="B4641" s="20"/>
    </row>
    <row r="4642" spans="2:2" x14ac:dyDescent="0.2">
      <c r="B4642" s="20"/>
    </row>
    <row r="4643" spans="2:2" x14ac:dyDescent="0.2">
      <c r="B4643" s="20"/>
    </row>
    <row r="4644" spans="2:2" x14ac:dyDescent="0.2">
      <c r="B4644" s="20"/>
    </row>
    <row r="4645" spans="2:2" x14ac:dyDescent="0.2">
      <c r="B4645" s="20"/>
    </row>
    <row r="4646" spans="2:2" x14ac:dyDescent="0.2">
      <c r="B4646" s="20"/>
    </row>
    <row r="4647" spans="2:2" x14ac:dyDescent="0.2">
      <c r="B4647" s="20"/>
    </row>
    <row r="4648" spans="2:2" x14ac:dyDescent="0.2">
      <c r="B4648" s="20"/>
    </row>
    <row r="4649" spans="2:2" x14ac:dyDescent="0.2">
      <c r="B4649" s="20"/>
    </row>
    <row r="4650" spans="2:2" x14ac:dyDescent="0.2">
      <c r="B4650" s="20"/>
    </row>
    <row r="4651" spans="2:2" x14ac:dyDescent="0.2">
      <c r="B4651" s="20"/>
    </row>
    <row r="4652" spans="2:2" x14ac:dyDescent="0.2">
      <c r="B4652" s="20"/>
    </row>
    <row r="4653" spans="2:2" x14ac:dyDescent="0.2">
      <c r="B4653" s="20"/>
    </row>
    <row r="4654" spans="2:2" x14ac:dyDescent="0.2">
      <c r="B4654" s="20"/>
    </row>
    <row r="4655" spans="2:2" x14ac:dyDescent="0.2">
      <c r="B4655" s="20"/>
    </row>
    <row r="4656" spans="2:2" x14ac:dyDescent="0.2">
      <c r="B4656" s="20"/>
    </row>
    <row r="4657" spans="2:2" x14ac:dyDescent="0.2">
      <c r="B4657" s="20"/>
    </row>
    <row r="4658" spans="2:2" x14ac:dyDescent="0.2">
      <c r="B4658" s="20"/>
    </row>
    <row r="4659" spans="2:2" x14ac:dyDescent="0.2">
      <c r="B4659" s="20"/>
    </row>
    <row r="4660" spans="2:2" x14ac:dyDescent="0.2">
      <c r="B4660" s="20"/>
    </row>
    <row r="4661" spans="2:2" x14ac:dyDescent="0.2">
      <c r="B4661" s="20"/>
    </row>
    <row r="4662" spans="2:2" x14ac:dyDescent="0.2">
      <c r="B4662" s="20"/>
    </row>
    <row r="4663" spans="2:2" x14ac:dyDescent="0.2">
      <c r="B4663" s="20"/>
    </row>
    <row r="4664" spans="2:2" x14ac:dyDescent="0.2">
      <c r="B4664" s="20"/>
    </row>
    <row r="4665" spans="2:2" x14ac:dyDescent="0.2">
      <c r="B4665" s="20"/>
    </row>
    <row r="4666" spans="2:2" x14ac:dyDescent="0.2">
      <c r="B4666" s="20"/>
    </row>
    <row r="4667" spans="2:2" x14ac:dyDescent="0.2">
      <c r="B4667" s="20"/>
    </row>
    <row r="4668" spans="2:2" x14ac:dyDescent="0.2">
      <c r="B4668" s="20"/>
    </row>
    <row r="4669" spans="2:2" x14ac:dyDescent="0.2">
      <c r="B4669" s="20"/>
    </row>
    <row r="4670" spans="2:2" x14ac:dyDescent="0.2">
      <c r="B4670" s="20"/>
    </row>
    <row r="4671" spans="2:2" x14ac:dyDescent="0.2">
      <c r="B4671" s="20"/>
    </row>
    <row r="4672" spans="2:2" x14ac:dyDescent="0.2">
      <c r="B4672" s="20"/>
    </row>
    <row r="4673" spans="2:2" x14ac:dyDescent="0.2">
      <c r="B4673" s="20"/>
    </row>
    <row r="4674" spans="2:2" x14ac:dyDescent="0.2">
      <c r="B4674" s="20"/>
    </row>
    <row r="4675" spans="2:2" x14ac:dyDescent="0.2">
      <c r="B4675" s="20"/>
    </row>
    <row r="4676" spans="2:2" x14ac:dyDescent="0.2">
      <c r="B4676" s="20"/>
    </row>
    <row r="4677" spans="2:2" x14ac:dyDescent="0.2">
      <c r="B4677" s="20"/>
    </row>
    <row r="4678" spans="2:2" x14ac:dyDescent="0.2">
      <c r="B4678" s="20"/>
    </row>
    <row r="4679" spans="2:2" x14ac:dyDescent="0.2">
      <c r="B4679" s="20"/>
    </row>
    <row r="4680" spans="2:2" x14ac:dyDescent="0.2">
      <c r="B4680" s="20"/>
    </row>
    <row r="4681" spans="2:2" x14ac:dyDescent="0.2">
      <c r="B4681" s="20"/>
    </row>
    <row r="4682" spans="2:2" x14ac:dyDescent="0.2">
      <c r="B4682" s="20"/>
    </row>
    <row r="4683" spans="2:2" x14ac:dyDescent="0.2">
      <c r="B4683" s="20"/>
    </row>
    <row r="4684" spans="2:2" x14ac:dyDescent="0.2">
      <c r="B4684" s="20"/>
    </row>
    <row r="4685" spans="2:2" x14ac:dyDescent="0.2">
      <c r="B4685" s="20"/>
    </row>
    <row r="4686" spans="2:2" x14ac:dyDescent="0.2">
      <c r="B4686" s="20"/>
    </row>
    <row r="4687" spans="2:2" x14ac:dyDescent="0.2">
      <c r="B4687" s="20"/>
    </row>
    <row r="4688" spans="2:2" x14ac:dyDescent="0.2">
      <c r="B4688" s="20"/>
    </row>
    <row r="4689" spans="2:2" x14ac:dyDescent="0.2">
      <c r="B4689" s="20"/>
    </row>
    <row r="4690" spans="2:2" x14ac:dyDescent="0.2">
      <c r="B4690" s="20"/>
    </row>
    <row r="4691" spans="2:2" x14ac:dyDescent="0.2">
      <c r="B4691" s="20"/>
    </row>
    <row r="4692" spans="2:2" x14ac:dyDescent="0.2">
      <c r="B4692" s="20"/>
    </row>
    <row r="4693" spans="2:2" x14ac:dyDescent="0.2">
      <c r="B4693" s="20"/>
    </row>
    <row r="4694" spans="2:2" x14ac:dyDescent="0.2">
      <c r="B4694" s="20"/>
    </row>
    <row r="4695" spans="2:2" x14ac:dyDescent="0.2">
      <c r="B4695" s="20"/>
    </row>
    <row r="4696" spans="2:2" x14ac:dyDescent="0.2">
      <c r="B4696" s="20"/>
    </row>
    <row r="4697" spans="2:2" x14ac:dyDescent="0.2">
      <c r="B4697" s="20"/>
    </row>
    <row r="4698" spans="2:2" x14ac:dyDescent="0.2">
      <c r="B4698" s="20"/>
    </row>
    <row r="4699" spans="2:2" x14ac:dyDescent="0.2">
      <c r="B4699" s="20"/>
    </row>
    <row r="4700" spans="2:2" x14ac:dyDescent="0.2">
      <c r="B4700" s="20"/>
    </row>
    <row r="4701" spans="2:2" x14ac:dyDescent="0.2">
      <c r="B4701" s="20"/>
    </row>
    <row r="4702" spans="2:2" x14ac:dyDescent="0.2">
      <c r="B4702" s="20"/>
    </row>
    <row r="4703" spans="2:2" x14ac:dyDescent="0.2">
      <c r="B4703" s="20"/>
    </row>
    <row r="4704" spans="2:2" x14ac:dyDescent="0.2">
      <c r="B4704" s="20"/>
    </row>
    <row r="4705" spans="2:2" x14ac:dyDescent="0.2">
      <c r="B4705" s="20"/>
    </row>
    <row r="4706" spans="2:2" x14ac:dyDescent="0.2">
      <c r="B4706" s="20"/>
    </row>
    <row r="4707" spans="2:2" x14ac:dyDescent="0.2">
      <c r="B4707" s="20"/>
    </row>
  </sheetData>
  <mergeCells count="16"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3AEE-C9FC-4F28-8487-EA21023B662A}">
  <dimension ref="A1:X4707"/>
  <sheetViews>
    <sheetView tabSelected="1" topLeftCell="A9" zoomScale="98" zoomScaleNormal="98" workbookViewId="0">
      <selection activeCell="L59" sqref="L59"/>
    </sheetView>
  </sheetViews>
  <sheetFormatPr defaultColWidth="8.85546875" defaultRowHeight="12.75" x14ac:dyDescent="0.2"/>
  <cols>
    <col min="1" max="1" width="6.7109375" style="3" customWidth="1"/>
    <col min="2" max="2" width="11.5703125" style="3" bestFit="1" customWidth="1"/>
    <col min="3" max="3" width="9.42578125" style="3" customWidth="1"/>
    <col min="4" max="4" width="11.7109375" style="3" customWidth="1"/>
    <col min="5" max="5" width="11.5703125" style="3" hidden="1" customWidth="1"/>
    <col min="6" max="6" width="11.28515625" style="3" hidden="1" customWidth="1"/>
    <col min="7" max="7" width="14.28515625" style="3" hidden="1" customWidth="1"/>
    <col min="8" max="10" width="11.28515625" style="3" hidden="1" customWidth="1"/>
    <col min="11" max="11" width="9.7109375" style="179" customWidth="1"/>
    <col min="12" max="12" width="11.42578125" style="193" customWidth="1"/>
    <col min="13" max="13" width="10.7109375" style="179" customWidth="1"/>
    <col min="14" max="14" width="11.5703125" style="3" bestFit="1" customWidth="1"/>
    <col min="15" max="18" width="11.28515625" style="3" hidden="1" customWidth="1"/>
    <col min="19" max="19" width="16" style="3" hidden="1" customWidth="1"/>
    <col min="20" max="20" width="16.5703125" style="3" bestFit="1" customWidth="1"/>
    <col min="21" max="21" width="15" style="3" customWidth="1"/>
    <col min="22" max="22" width="15.85546875" style="3" customWidth="1"/>
    <col min="23" max="16384" width="8.85546875" style="3"/>
  </cols>
  <sheetData>
    <row r="1" spans="1:23" ht="15" x14ac:dyDescent="0.2">
      <c r="C1" s="79" t="s">
        <v>265</v>
      </c>
    </row>
    <row r="2" spans="1:23" ht="15" x14ac:dyDescent="0.2">
      <c r="C2" s="79" t="s">
        <v>266</v>
      </c>
      <c r="W2" s="67" t="s">
        <v>83</v>
      </c>
    </row>
    <row r="3" spans="1:23" ht="13.5" thickBot="1" x14ac:dyDescent="0.25"/>
    <row r="4" spans="1:23" s="1" customFormat="1" ht="13.5" thickBot="1" x14ac:dyDescent="0.25">
      <c r="B4" s="4"/>
      <c r="C4" s="210" t="s">
        <v>231</v>
      </c>
      <c r="D4" s="211"/>
      <c r="E4" s="212" t="s">
        <v>231</v>
      </c>
      <c r="F4" s="213"/>
      <c r="G4" s="210" t="s">
        <v>233</v>
      </c>
      <c r="H4" s="211"/>
      <c r="I4" s="212" t="s">
        <v>233</v>
      </c>
      <c r="J4" s="213"/>
      <c r="K4" s="210" t="s">
        <v>235</v>
      </c>
      <c r="L4" s="211"/>
      <c r="M4" s="212" t="s">
        <v>235</v>
      </c>
      <c r="N4" s="213"/>
      <c r="O4" s="210" t="s">
        <v>237</v>
      </c>
      <c r="P4" s="211"/>
      <c r="Q4" s="212" t="s">
        <v>237</v>
      </c>
      <c r="R4" s="213"/>
      <c r="S4" s="5" t="s">
        <v>26</v>
      </c>
      <c r="T4" s="6" t="s">
        <v>27</v>
      </c>
      <c r="U4" s="5" t="s">
        <v>26</v>
      </c>
      <c r="V4" s="6" t="s">
        <v>27</v>
      </c>
    </row>
    <row r="5" spans="1:23" s="1" customFormat="1" ht="13.5" thickBot="1" x14ac:dyDescent="0.25">
      <c r="B5" s="142"/>
      <c r="C5" s="210" t="s">
        <v>232</v>
      </c>
      <c r="D5" s="211"/>
      <c r="E5" s="212" t="s">
        <v>232</v>
      </c>
      <c r="F5" s="213"/>
      <c r="G5" s="210" t="s">
        <v>234</v>
      </c>
      <c r="H5" s="214"/>
      <c r="I5" s="212" t="s">
        <v>234</v>
      </c>
      <c r="J5" s="215"/>
      <c r="K5" s="210" t="s">
        <v>236</v>
      </c>
      <c r="L5" s="211"/>
      <c r="M5" s="212" t="s">
        <v>236</v>
      </c>
      <c r="N5" s="213"/>
      <c r="O5" s="210" t="s">
        <v>238</v>
      </c>
      <c r="P5" s="214"/>
      <c r="Q5" s="212" t="s">
        <v>238</v>
      </c>
      <c r="R5" s="215"/>
      <c r="S5" s="5"/>
      <c r="T5" s="6"/>
      <c r="U5" s="5"/>
      <c r="V5" s="6"/>
    </row>
    <row r="6" spans="1:23" ht="13.5" thickBot="1" x14ac:dyDescent="0.25">
      <c r="B6" s="7" t="s">
        <v>28</v>
      </c>
      <c r="C6" s="92" t="s">
        <v>29</v>
      </c>
      <c r="D6" s="93" t="s">
        <v>30</v>
      </c>
      <c r="E6" s="9" t="s">
        <v>29</v>
      </c>
      <c r="F6" s="10" t="s">
        <v>30</v>
      </c>
      <c r="G6" s="92" t="s">
        <v>29</v>
      </c>
      <c r="H6" s="93" t="s">
        <v>30</v>
      </c>
      <c r="I6" s="143" t="s">
        <v>29</v>
      </c>
      <c r="J6" s="144" t="s">
        <v>30</v>
      </c>
      <c r="K6" s="199" t="s">
        <v>29</v>
      </c>
      <c r="L6" s="196" t="s">
        <v>30</v>
      </c>
      <c r="M6" s="180" t="s">
        <v>29</v>
      </c>
      <c r="N6" s="8" t="s">
        <v>30</v>
      </c>
      <c r="O6" s="157" t="s">
        <v>29</v>
      </c>
      <c r="P6" s="93" t="s">
        <v>30</v>
      </c>
      <c r="Q6" s="143" t="s">
        <v>29</v>
      </c>
      <c r="R6" s="144" t="s">
        <v>30</v>
      </c>
      <c r="S6" s="9" t="s">
        <v>31</v>
      </c>
      <c r="T6" s="10" t="s">
        <v>32</v>
      </c>
      <c r="U6" s="9" t="s">
        <v>31</v>
      </c>
      <c r="V6" s="10" t="s">
        <v>32</v>
      </c>
    </row>
    <row r="7" spans="1:23" ht="13.5" thickBot="1" x14ac:dyDescent="0.25">
      <c r="B7" s="7" t="s">
        <v>33</v>
      </c>
      <c r="C7" s="94"/>
      <c r="D7" s="91"/>
      <c r="E7" s="89" t="s">
        <v>34</v>
      </c>
      <c r="F7" s="117" t="s">
        <v>35</v>
      </c>
      <c r="G7" s="94"/>
      <c r="H7" s="91"/>
      <c r="I7" s="145" t="s">
        <v>34</v>
      </c>
      <c r="J7" s="146" t="s">
        <v>35</v>
      </c>
      <c r="K7" s="200"/>
      <c r="L7" s="197"/>
      <c r="M7" s="180" t="s">
        <v>34</v>
      </c>
      <c r="N7" s="90" t="s">
        <v>35</v>
      </c>
      <c r="O7" s="158"/>
      <c r="P7" s="91"/>
      <c r="Q7" s="145" t="s">
        <v>34</v>
      </c>
      <c r="R7" s="146" t="s">
        <v>35</v>
      </c>
      <c r="S7" s="11" t="s">
        <v>36</v>
      </c>
      <c r="T7" s="12" t="s">
        <v>36</v>
      </c>
      <c r="U7" s="9" t="s">
        <v>34</v>
      </c>
      <c r="V7" s="10" t="s">
        <v>35</v>
      </c>
    </row>
    <row r="8" spans="1:23" ht="13.5" thickBot="1" x14ac:dyDescent="0.25">
      <c r="B8" s="13"/>
      <c r="C8" s="88" t="s">
        <v>37</v>
      </c>
      <c r="D8" s="55" t="s">
        <v>37</v>
      </c>
      <c r="E8" s="9" t="s">
        <v>37</v>
      </c>
      <c r="F8" s="10" t="s">
        <v>37</v>
      </c>
      <c r="G8" s="88" t="s">
        <v>37</v>
      </c>
      <c r="H8" s="55" t="s">
        <v>37</v>
      </c>
      <c r="I8" s="147" t="s">
        <v>37</v>
      </c>
      <c r="J8" s="148" t="s">
        <v>37</v>
      </c>
      <c r="K8" s="201" t="s">
        <v>37</v>
      </c>
      <c r="L8" s="198" t="s">
        <v>37</v>
      </c>
      <c r="M8" s="181" t="s">
        <v>37</v>
      </c>
      <c r="N8" s="9" t="s">
        <v>37</v>
      </c>
      <c r="O8" s="88" t="s">
        <v>37</v>
      </c>
      <c r="P8" s="55" t="s">
        <v>37</v>
      </c>
      <c r="Q8" s="147" t="s">
        <v>37</v>
      </c>
      <c r="R8" s="148" t="s">
        <v>37</v>
      </c>
      <c r="S8" s="16" t="s">
        <v>37</v>
      </c>
      <c r="T8" s="16" t="s">
        <v>37</v>
      </c>
      <c r="U8" s="16" t="s">
        <v>37</v>
      </c>
      <c r="V8" s="15" t="s">
        <v>37</v>
      </c>
    </row>
    <row r="9" spans="1:23" ht="15" x14ac:dyDescent="0.25">
      <c r="A9" s="3">
        <v>1</v>
      </c>
      <c r="B9" s="115">
        <v>45051</v>
      </c>
      <c r="C9" s="116">
        <v>0</v>
      </c>
      <c r="D9" s="116">
        <v>0</v>
      </c>
      <c r="E9" s="61">
        <f t="shared" ref="E9:F24" si="0">+C9</f>
        <v>0</v>
      </c>
      <c r="F9" s="61">
        <f t="shared" si="0"/>
        <v>0</v>
      </c>
      <c r="G9" s="153">
        <v>0</v>
      </c>
      <c r="H9" s="154">
        <v>0</v>
      </c>
      <c r="I9" s="61">
        <f t="shared" ref="I9:J24" si="1">+G9</f>
        <v>0</v>
      </c>
      <c r="J9" s="61">
        <f t="shared" si="1"/>
        <v>0</v>
      </c>
      <c r="K9" s="202">
        <v>10.148</v>
      </c>
      <c r="L9" s="194">
        <v>36.905000000000001</v>
      </c>
      <c r="M9" s="183">
        <f>K9</f>
        <v>10.148</v>
      </c>
      <c r="N9" s="182">
        <f>L9</f>
        <v>36.905000000000001</v>
      </c>
      <c r="O9" s="186"/>
      <c r="P9" s="17"/>
      <c r="Q9" s="17"/>
      <c r="R9" s="17"/>
      <c r="S9" s="17">
        <f t="shared" ref="S9:S27" si="2">C9+D9</f>
        <v>0</v>
      </c>
      <c r="T9" s="17">
        <f>K9+L9</f>
        <v>47.052999999999997</v>
      </c>
      <c r="U9" s="17">
        <f t="shared" ref="U9:U60" si="3">E9+F9</f>
        <v>0</v>
      </c>
      <c r="V9" s="17">
        <f>M9+N9</f>
        <v>47.052999999999997</v>
      </c>
    </row>
    <row r="10" spans="1:23" ht="15" x14ac:dyDescent="0.25">
      <c r="A10" s="3">
        <f>A9+1</f>
        <v>2</v>
      </c>
      <c r="B10" s="115">
        <f t="shared" ref="B10:B60" si="4">B9+7</f>
        <v>45058</v>
      </c>
      <c r="C10" s="116">
        <v>0</v>
      </c>
      <c r="D10" s="116">
        <v>0</v>
      </c>
      <c r="E10" s="62">
        <f t="shared" si="0"/>
        <v>0</v>
      </c>
      <c r="F10" s="62">
        <f t="shared" si="0"/>
        <v>0</v>
      </c>
      <c r="G10" s="155">
        <v>0</v>
      </c>
      <c r="H10" s="156">
        <v>0</v>
      </c>
      <c r="I10" s="62">
        <f t="shared" si="1"/>
        <v>0</v>
      </c>
      <c r="J10" s="62">
        <f t="shared" si="1"/>
        <v>0</v>
      </c>
      <c r="K10" s="202">
        <v>17.588999999999999</v>
      </c>
      <c r="L10" s="194">
        <v>33.787999999999997</v>
      </c>
      <c r="M10" s="184">
        <f t="shared" ref="M10:N25" si="5">M9+K10</f>
        <v>27.736999999999998</v>
      </c>
      <c r="N10" s="182">
        <f t="shared" si="5"/>
        <v>70.692999999999998</v>
      </c>
      <c r="O10" s="46"/>
      <c r="P10" s="18"/>
      <c r="Q10" s="18"/>
      <c r="R10" s="18"/>
      <c r="S10" s="18">
        <f t="shared" si="2"/>
        <v>0</v>
      </c>
      <c r="T10" s="18">
        <f t="shared" ref="T10:T60" si="6">K10+L10</f>
        <v>51.376999999999995</v>
      </c>
      <c r="U10" s="18">
        <f t="shared" si="3"/>
        <v>0</v>
      </c>
      <c r="V10" s="18">
        <f t="shared" ref="V10:V60" si="7">M10+N10</f>
        <v>98.429999999999993</v>
      </c>
    </row>
    <row r="11" spans="1:23" ht="15" x14ac:dyDescent="0.25">
      <c r="A11" s="3">
        <f t="shared" ref="A11:A61" si="8">A10+1</f>
        <v>3</v>
      </c>
      <c r="B11" s="115">
        <f t="shared" si="4"/>
        <v>45065</v>
      </c>
      <c r="C11" s="116">
        <v>0</v>
      </c>
      <c r="D11" s="116">
        <v>0</v>
      </c>
      <c r="E11" s="62">
        <f t="shared" si="0"/>
        <v>0</v>
      </c>
      <c r="F11" s="62">
        <f t="shared" si="0"/>
        <v>0</v>
      </c>
      <c r="G11" s="155">
        <v>0</v>
      </c>
      <c r="H11" s="156">
        <v>0</v>
      </c>
      <c r="I11" s="62">
        <f t="shared" si="1"/>
        <v>0</v>
      </c>
      <c r="J11" s="62">
        <f t="shared" si="1"/>
        <v>0</v>
      </c>
      <c r="K11" s="202">
        <v>10.32</v>
      </c>
      <c r="L11" s="194">
        <v>40.933</v>
      </c>
      <c r="M11" s="184">
        <f t="shared" si="5"/>
        <v>38.057000000000002</v>
      </c>
      <c r="N11" s="182">
        <f t="shared" si="5"/>
        <v>111.626</v>
      </c>
      <c r="O11" s="46"/>
      <c r="P11" s="18"/>
      <c r="Q11" s="18"/>
      <c r="R11" s="18"/>
      <c r="S11" s="18">
        <f t="shared" si="2"/>
        <v>0</v>
      </c>
      <c r="T11" s="18">
        <f t="shared" si="6"/>
        <v>51.253</v>
      </c>
      <c r="U11" s="18">
        <f t="shared" si="3"/>
        <v>0</v>
      </c>
      <c r="V11" s="18">
        <f t="shared" si="7"/>
        <v>149.68299999999999</v>
      </c>
    </row>
    <row r="12" spans="1:23" ht="15" x14ac:dyDescent="0.25">
      <c r="A12" s="3">
        <f t="shared" si="8"/>
        <v>4</v>
      </c>
      <c r="B12" s="115">
        <f t="shared" si="4"/>
        <v>45072</v>
      </c>
      <c r="C12" s="116">
        <v>0</v>
      </c>
      <c r="D12" s="116">
        <v>0</v>
      </c>
      <c r="E12" s="62">
        <f t="shared" si="0"/>
        <v>0</v>
      </c>
      <c r="F12" s="62">
        <f t="shared" si="0"/>
        <v>0</v>
      </c>
      <c r="G12" s="155">
        <v>0</v>
      </c>
      <c r="H12" s="156">
        <v>0</v>
      </c>
      <c r="I12" s="62">
        <f t="shared" si="1"/>
        <v>0</v>
      </c>
      <c r="J12" s="62">
        <f t="shared" si="1"/>
        <v>0</v>
      </c>
      <c r="K12" s="202">
        <v>12.122999999999999</v>
      </c>
      <c r="L12" s="194">
        <v>98.013999999999996</v>
      </c>
      <c r="M12" s="184">
        <f t="shared" si="5"/>
        <v>50.18</v>
      </c>
      <c r="N12" s="182">
        <f t="shared" si="5"/>
        <v>209.64</v>
      </c>
      <c r="O12" s="46"/>
      <c r="P12" s="18"/>
      <c r="Q12" s="18"/>
      <c r="R12" s="18"/>
      <c r="S12" s="18">
        <f t="shared" si="2"/>
        <v>0</v>
      </c>
      <c r="T12" s="18">
        <f t="shared" si="6"/>
        <v>110.137</v>
      </c>
      <c r="U12" s="18">
        <f t="shared" si="3"/>
        <v>0</v>
      </c>
      <c r="V12" s="18">
        <f t="shared" si="7"/>
        <v>259.82</v>
      </c>
    </row>
    <row r="13" spans="1:23" ht="15" x14ac:dyDescent="0.25">
      <c r="A13" s="3">
        <f t="shared" si="8"/>
        <v>5</v>
      </c>
      <c r="B13" s="115">
        <f t="shared" si="4"/>
        <v>45079</v>
      </c>
      <c r="C13" s="116">
        <v>0</v>
      </c>
      <c r="D13" s="116">
        <v>0</v>
      </c>
      <c r="E13" s="62">
        <f t="shared" si="0"/>
        <v>0</v>
      </c>
      <c r="F13" s="62">
        <f t="shared" si="0"/>
        <v>0</v>
      </c>
      <c r="G13" s="155">
        <v>0</v>
      </c>
      <c r="H13" s="156">
        <v>0</v>
      </c>
      <c r="I13" s="62">
        <f t="shared" si="1"/>
        <v>0</v>
      </c>
      <c r="J13" s="62">
        <f t="shared" si="1"/>
        <v>0</v>
      </c>
      <c r="K13" s="202">
        <v>11.157999999999999</v>
      </c>
      <c r="L13" s="194">
        <v>34.095999999999997</v>
      </c>
      <c r="M13" s="184">
        <f t="shared" si="5"/>
        <v>61.338000000000001</v>
      </c>
      <c r="N13" s="182">
        <f t="shared" si="5"/>
        <v>243.73599999999999</v>
      </c>
      <c r="O13" s="46"/>
      <c r="P13" s="18"/>
      <c r="Q13" s="18"/>
      <c r="R13" s="18"/>
      <c r="S13" s="18">
        <f t="shared" si="2"/>
        <v>0</v>
      </c>
      <c r="T13" s="18">
        <f t="shared" si="6"/>
        <v>45.253999999999998</v>
      </c>
      <c r="U13" s="18">
        <f t="shared" si="3"/>
        <v>0</v>
      </c>
      <c r="V13" s="18">
        <f t="shared" si="7"/>
        <v>305.07400000000001</v>
      </c>
    </row>
    <row r="14" spans="1:23" ht="15" x14ac:dyDescent="0.25">
      <c r="A14" s="3">
        <f t="shared" si="8"/>
        <v>6</v>
      </c>
      <c r="B14" s="115">
        <f t="shared" si="4"/>
        <v>45086</v>
      </c>
      <c r="C14" s="116">
        <v>0</v>
      </c>
      <c r="D14" s="116">
        <v>0</v>
      </c>
      <c r="E14" s="62">
        <f t="shared" si="0"/>
        <v>0</v>
      </c>
      <c r="F14" s="62">
        <f t="shared" si="0"/>
        <v>0</v>
      </c>
      <c r="G14" s="155">
        <v>0</v>
      </c>
      <c r="H14" s="156">
        <v>0</v>
      </c>
      <c r="I14" s="62">
        <f t="shared" si="1"/>
        <v>0</v>
      </c>
      <c r="J14" s="62">
        <f t="shared" si="1"/>
        <v>0</v>
      </c>
      <c r="K14" s="202">
        <v>8.0749999999999993</v>
      </c>
      <c r="L14" s="194">
        <v>123.376</v>
      </c>
      <c r="M14" s="184">
        <f t="shared" si="5"/>
        <v>69.412999999999997</v>
      </c>
      <c r="N14" s="182">
        <f t="shared" si="5"/>
        <v>367.11199999999997</v>
      </c>
      <c r="O14" s="46"/>
      <c r="P14" s="18"/>
      <c r="Q14" s="18"/>
      <c r="R14" s="18"/>
      <c r="S14" s="18">
        <f t="shared" si="2"/>
        <v>0</v>
      </c>
      <c r="T14" s="18">
        <f t="shared" si="6"/>
        <v>131.45099999999999</v>
      </c>
      <c r="U14" s="18">
        <f t="shared" si="3"/>
        <v>0</v>
      </c>
      <c r="V14" s="18">
        <f t="shared" si="7"/>
        <v>436.52499999999998</v>
      </c>
    </row>
    <row r="15" spans="1:23" ht="15" x14ac:dyDescent="0.25">
      <c r="A15" s="3">
        <f t="shared" si="8"/>
        <v>7</v>
      </c>
      <c r="B15" s="115">
        <f t="shared" si="4"/>
        <v>45093</v>
      </c>
      <c r="C15" s="116">
        <v>0</v>
      </c>
      <c r="D15" s="116">
        <v>0</v>
      </c>
      <c r="E15" s="62">
        <f t="shared" si="0"/>
        <v>0</v>
      </c>
      <c r="F15" s="62">
        <f t="shared" si="0"/>
        <v>0</v>
      </c>
      <c r="G15" s="155">
        <v>0</v>
      </c>
      <c r="H15" s="156">
        <v>0</v>
      </c>
      <c r="I15" s="62">
        <f t="shared" si="1"/>
        <v>0</v>
      </c>
      <c r="J15" s="62">
        <f t="shared" si="1"/>
        <v>0</v>
      </c>
      <c r="K15" s="202">
        <v>7.9029999999999996</v>
      </c>
      <c r="L15" s="194">
        <v>82.921999999999997</v>
      </c>
      <c r="M15" s="184">
        <f t="shared" si="5"/>
        <v>77.316000000000003</v>
      </c>
      <c r="N15" s="182">
        <f t="shared" si="5"/>
        <v>450.03399999999999</v>
      </c>
      <c r="O15" s="46"/>
      <c r="P15" s="18"/>
      <c r="Q15" s="18"/>
      <c r="R15" s="18"/>
      <c r="S15" s="18">
        <f t="shared" si="2"/>
        <v>0</v>
      </c>
      <c r="T15" s="18">
        <f t="shared" si="6"/>
        <v>90.825000000000003</v>
      </c>
      <c r="U15" s="18">
        <f t="shared" si="3"/>
        <v>0</v>
      </c>
      <c r="V15" s="18">
        <f t="shared" si="7"/>
        <v>527.35</v>
      </c>
    </row>
    <row r="16" spans="1:23" ht="15" x14ac:dyDescent="0.25">
      <c r="A16" s="3">
        <f t="shared" si="8"/>
        <v>8</v>
      </c>
      <c r="B16" s="115">
        <f t="shared" si="4"/>
        <v>45100</v>
      </c>
      <c r="C16" s="116">
        <v>0</v>
      </c>
      <c r="D16" s="116">
        <v>0</v>
      </c>
      <c r="E16" s="62">
        <f t="shared" si="0"/>
        <v>0</v>
      </c>
      <c r="F16" s="62">
        <f t="shared" si="0"/>
        <v>0</v>
      </c>
      <c r="G16" s="155">
        <v>0</v>
      </c>
      <c r="H16" s="156">
        <v>0</v>
      </c>
      <c r="I16" s="62">
        <f t="shared" si="1"/>
        <v>0</v>
      </c>
      <c r="J16" s="62">
        <f t="shared" si="1"/>
        <v>0</v>
      </c>
      <c r="K16" s="202">
        <v>16.495999999999999</v>
      </c>
      <c r="L16" s="194">
        <v>113.95</v>
      </c>
      <c r="M16" s="184">
        <f t="shared" si="5"/>
        <v>93.811999999999998</v>
      </c>
      <c r="N16" s="182">
        <f t="shared" si="5"/>
        <v>563.98400000000004</v>
      </c>
      <c r="O16" s="46"/>
      <c r="P16" s="18"/>
      <c r="Q16" s="18"/>
      <c r="R16" s="18"/>
      <c r="S16" s="18">
        <f t="shared" si="2"/>
        <v>0</v>
      </c>
      <c r="T16" s="18">
        <f t="shared" si="6"/>
        <v>130.446</v>
      </c>
      <c r="U16" s="18">
        <f t="shared" si="3"/>
        <v>0</v>
      </c>
      <c r="V16" s="18">
        <f t="shared" si="7"/>
        <v>657.79600000000005</v>
      </c>
    </row>
    <row r="17" spans="1:24" ht="15" x14ac:dyDescent="0.25">
      <c r="A17" s="3">
        <f t="shared" si="8"/>
        <v>9</v>
      </c>
      <c r="B17" s="115">
        <f t="shared" si="4"/>
        <v>45107</v>
      </c>
      <c r="C17" s="116">
        <v>0</v>
      </c>
      <c r="D17" s="116">
        <v>0</v>
      </c>
      <c r="E17" s="62">
        <f t="shared" si="0"/>
        <v>0</v>
      </c>
      <c r="F17" s="62">
        <f t="shared" si="0"/>
        <v>0</v>
      </c>
      <c r="G17" s="155">
        <v>0</v>
      </c>
      <c r="H17" s="156">
        <v>0</v>
      </c>
      <c r="I17" s="62">
        <f t="shared" si="1"/>
        <v>0</v>
      </c>
      <c r="J17" s="62">
        <f t="shared" si="1"/>
        <v>0</v>
      </c>
      <c r="K17" s="202">
        <v>22.015000000000001</v>
      </c>
      <c r="L17" s="194">
        <v>80.28</v>
      </c>
      <c r="M17" s="184">
        <f t="shared" si="5"/>
        <v>115.827</v>
      </c>
      <c r="N17" s="182">
        <f t="shared" si="5"/>
        <v>644.26400000000001</v>
      </c>
      <c r="O17" s="187"/>
      <c r="P17" s="149"/>
      <c r="Q17" s="18">
        <f>O17</f>
        <v>0</v>
      </c>
      <c r="R17" s="18">
        <f>P17</f>
        <v>0</v>
      </c>
      <c r="S17" s="18">
        <f t="shared" si="2"/>
        <v>0</v>
      </c>
      <c r="T17" s="18">
        <f t="shared" si="6"/>
        <v>102.295</v>
      </c>
      <c r="U17" s="18">
        <f t="shared" si="3"/>
        <v>0</v>
      </c>
      <c r="V17" s="18">
        <f t="shared" si="7"/>
        <v>760.09100000000001</v>
      </c>
    </row>
    <row r="18" spans="1:24" ht="15" x14ac:dyDescent="0.25">
      <c r="A18" s="3">
        <f t="shared" si="8"/>
        <v>10</v>
      </c>
      <c r="B18" s="115">
        <f t="shared" si="4"/>
        <v>45114</v>
      </c>
      <c r="C18" s="116">
        <v>0</v>
      </c>
      <c r="D18" s="116">
        <v>0</v>
      </c>
      <c r="E18" s="62">
        <f t="shared" si="0"/>
        <v>0</v>
      </c>
      <c r="F18" s="62">
        <f t="shared" si="0"/>
        <v>0</v>
      </c>
      <c r="G18" s="155">
        <v>0</v>
      </c>
      <c r="H18" s="156">
        <v>0</v>
      </c>
      <c r="I18" s="62">
        <f t="shared" si="1"/>
        <v>0</v>
      </c>
      <c r="J18" s="62">
        <f t="shared" si="1"/>
        <v>0</v>
      </c>
      <c r="K18" s="202">
        <v>8.202</v>
      </c>
      <c r="L18" s="194">
        <v>90.853999999999999</v>
      </c>
      <c r="M18" s="184">
        <f t="shared" si="5"/>
        <v>124.029</v>
      </c>
      <c r="N18" s="182">
        <f t="shared" si="5"/>
        <v>735.11800000000005</v>
      </c>
      <c r="O18" s="187"/>
      <c r="P18" s="149"/>
      <c r="Q18" s="18">
        <f>Q17+O18</f>
        <v>0</v>
      </c>
      <c r="R18" s="18">
        <f>R17+P18</f>
        <v>0</v>
      </c>
      <c r="S18" s="18">
        <f t="shared" si="2"/>
        <v>0</v>
      </c>
      <c r="T18" s="18">
        <f t="shared" si="6"/>
        <v>99.055999999999997</v>
      </c>
      <c r="U18" s="18">
        <f t="shared" si="3"/>
        <v>0</v>
      </c>
      <c r="V18" s="18">
        <f t="shared" si="7"/>
        <v>859.14700000000005</v>
      </c>
    </row>
    <row r="19" spans="1:24" ht="15" x14ac:dyDescent="0.25">
      <c r="A19" s="3">
        <f t="shared" si="8"/>
        <v>11</v>
      </c>
      <c r="B19" s="115">
        <f t="shared" si="4"/>
        <v>45121</v>
      </c>
      <c r="C19" s="116">
        <v>0</v>
      </c>
      <c r="D19" s="116">
        <v>0</v>
      </c>
      <c r="E19" s="62">
        <f t="shared" si="0"/>
        <v>0</v>
      </c>
      <c r="F19" s="62">
        <f t="shared" si="0"/>
        <v>0</v>
      </c>
      <c r="G19" s="155">
        <v>0</v>
      </c>
      <c r="H19" s="156">
        <v>0</v>
      </c>
      <c r="I19" s="62">
        <f t="shared" si="1"/>
        <v>0</v>
      </c>
      <c r="J19" s="62">
        <f t="shared" si="1"/>
        <v>0</v>
      </c>
      <c r="K19" s="202">
        <v>10.098000000000001</v>
      </c>
      <c r="L19" s="194">
        <v>118.018</v>
      </c>
      <c r="M19" s="184">
        <f t="shared" si="5"/>
        <v>134.12700000000001</v>
      </c>
      <c r="N19" s="182">
        <f t="shared" si="5"/>
        <v>853.13600000000008</v>
      </c>
      <c r="O19" s="187"/>
      <c r="P19" s="149"/>
      <c r="Q19" s="18">
        <f t="shared" ref="Q19:R29" si="9">Q18+O19</f>
        <v>0</v>
      </c>
      <c r="R19" s="18">
        <f t="shared" si="9"/>
        <v>0</v>
      </c>
      <c r="S19" s="18">
        <f t="shared" si="2"/>
        <v>0</v>
      </c>
      <c r="T19" s="18">
        <f t="shared" si="6"/>
        <v>128.11600000000001</v>
      </c>
      <c r="U19" s="18">
        <f t="shared" si="3"/>
        <v>0</v>
      </c>
      <c r="V19" s="18">
        <f t="shared" si="7"/>
        <v>987.26300000000015</v>
      </c>
    </row>
    <row r="20" spans="1:24" ht="15" x14ac:dyDescent="0.25">
      <c r="A20" s="3">
        <f t="shared" si="8"/>
        <v>12</v>
      </c>
      <c r="B20" s="115">
        <f t="shared" si="4"/>
        <v>45128</v>
      </c>
      <c r="C20" s="116">
        <v>0</v>
      </c>
      <c r="D20" s="116">
        <v>0</v>
      </c>
      <c r="E20" s="62">
        <f t="shared" si="0"/>
        <v>0</v>
      </c>
      <c r="F20" s="62">
        <f t="shared" si="0"/>
        <v>0</v>
      </c>
      <c r="G20" s="155">
        <v>0</v>
      </c>
      <c r="H20" s="156">
        <v>0</v>
      </c>
      <c r="I20" s="62">
        <f t="shared" si="1"/>
        <v>0</v>
      </c>
      <c r="J20" s="62">
        <f t="shared" si="1"/>
        <v>0</v>
      </c>
      <c r="K20" s="202">
        <v>22.943999999999999</v>
      </c>
      <c r="L20" s="194">
        <v>87.302000000000007</v>
      </c>
      <c r="M20" s="184">
        <f t="shared" si="5"/>
        <v>157.071</v>
      </c>
      <c r="N20" s="182">
        <f t="shared" si="5"/>
        <v>940.4380000000001</v>
      </c>
      <c r="O20" s="187"/>
      <c r="P20" s="149"/>
      <c r="Q20" s="18">
        <f t="shared" si="9"/>
        <v>0</v>
      </c>
      <c r="R20" s="18">
        <f t="shared" si="9"/>
        <v>0</v>
      </c>
      <c r="S20" s="18">
        <f t="shared" si="2"/>
        <v>0</v>
      </c>
      <c r="T20" s="18">
        <f t="shared" si="6"/>
        <v>110.24600000000001</v>
      </c>
      <c r="U20" s="18">
        <f t="shared" si="3"/>
        <v>0</v>
      </c>
      <c r="V20" s="18">
        <f t="shared" si="7"/>
        <v>1097.509</v>
      </c>
    </row>
    <row r="21" spans="1:24" ht="15" x14ac:dyDescent="0.25">
      <c r="A21" s="3">
        <f t="shared" si="8"/>
        <v>13</v>
      </c>
      <c r="B21" s="115">
        <f t="shared" si="4"/>
        <v>45135</v>
      </c>
      <c r="C21" s="116">
        <v>0</v>
      </c>
      <c r="D21" s="116">
        <v>0</v>
      </c>
      <c r="E21" s="62">
        <f t="shared" si="0"/>
        <v>0</v>
      </c>
      <c r="F21" s="62">
        <f t="shared" si="0"/>
        <v>0</v>
      </c>
      <c r="G21" s="155">
        <v>0</v>
      </c>
      <c r="H21" s="156">
        <v>0</v>
      </c>
      <c r="I21" s="62">
        <f t="shared" si="1"/>
        <v>0</v>
      </c>
      <c r="J21" s="62">
        <f t="shared" si="1"/>
        <v>0</v>
      </c>
      <c r="K21" s="202">
        <v>12.144</v>
      </c>
      <c r="L21" s="194">
        <v>146.792</v>
      </c>
      <c r="M21" s="184">
        <f t="shared" si="5"/>
        <v>169.215</v>
      </c>
      <c r="N21" s="182">
        <f t="shared" si="5"/>
        <v>1087.23</v>
      </c>
      <c r="O21" s="187"/>
      <c r="P21" s="149"/>
      <c r="Q21" s="18">
        <f t="shared" si="9"/>
        <v>0</v>
      </c>
      <c r="R21" s="18">
        <f t="shared" si="9"/>
        <v>0</v>
      </c>
      <c r="S21" s="18">
        <f t="shared" si="2"/>
        <v>0</v>
      </c>
      <c r="T21" s="18">
        <f t="shared" si="6"/>
        <v>158.93600000000001</v>
      </c>
      <c r="U21" s="18">
        <f t="shared" si="3"/>
        <v>0</v>
      </c>
      <c r="V21" s="18">
        <f t="shared" si="7"/>
        <v>1256.4449999999999</v>
      </c>
    </row>
    <row r="22" spans="1:24" ht="15" x14ac:dyDescent="0.25">
      <c r="A22" s="3">
        <f t="shared" si="8"/>
        <v>14</v>
      </c>
      <c r="B22" s="115">
        <f t="shared" si="4"/>
        <v>45142</v>
      </c>
      <c r="C22" s="116">
        <v>0</v>
      </c>
      <c r="D22" s="116">
        <v>0</v>
      </c>
      <c r="E22" s="62">
        <f t="shared" si="0"/>
        <v>0</v>
      </c>
      <c r="F22" s="62">
        <f t="shared" si="0"/>
        <v>0</v>
      </c>
      <c r="G22" s="155">
        <v>0</v>
      </c>
      <c r="H22" s="156">
        <v>0</v>
      </c>
      <c r="I22" s="62">
        <f t="shared" si="1"/>
        <v>0</v>
      </c>
      <c r="J22" s="62">
        <f t="shared" si="1"/>
        <v>0</v>
      </c>
      <c r="K22" s="202">
        <v>10.493</v>
      </c>
      <c r="L22" s="194">
        <v>100.539</v>
      </c>
      <c r="M22" s="184">
        <f t="shared" si="5"/>
        <v>179.708</v>
      </c>
      <c r="N22" s="182">
        <f t="shared" si="5"/>
        <v>1187.769</v>
      </c>
      <c r="O22" s="187"/>
      <c r="P22" s="149"/>
      <c r="Q22" s="18">
        <f t="shared" si="9"/>
        <v>0</v>
      </c>
      <c r="R22" s="18">
        <f t="shared" si="9"/>
        <v>0</v>
      </c>
      <c r="S22" s="18">
        <f t="shared" si="2"/>
        <v>0</v>
      </c>
      <c r="T22" s="18">
        <f t="shared" si="6"/>
        <v>111.032</v>
      </c>
      <c r="U22" s="18">
        <f t="shared" si="3"/>
        <v>0</v>
      </c>
      <c r="V22" s="18">
        <f t="shared" si="7"/>
        <v>1367.4770000000001</v>
      </c>
    </row>
    <row r="23" spans="1:24" ht="15" x14ac:dyDescent="0.25">
      <c r="A23" s="3">
        <f t="shared" si="8"/>
        <v>15</v>
      </c>
      <c r="B23" s="115">
        <f t="shared" si="4"/>
        <v>45149</v>
      </c>
      <c r="C23" s="116">
        <v>0</v>
      </c>
      <c r="D23" s="116">
        <v>0</v>
      </c>
      <c r="E23" s="62">
        <f t="shared" si="0"/>
        <v>0</v>
      </c>
      <c r="F23" s="62">
        <f t="shared" si="0"/>
        <v>0</v>
      </c>
      <c r="G23" s="155">
        <v>0</v>
      </c>
      <c r="H23" s="156">
        <v>0</v>
      </c>
      <c r="I23" s="62">
        <f t="shared" si="1"/>
        <v>0</v>
      </c>
      <c r="J23" s="62">
        <f t="shared" si="1"/>
        <v>0</v>
      </c>
      <c r="K23" s="202">
        <v>14.371</v>
      </c>
      <c r="L23" s="194">
        <v>56.576000000000001</v>
      </c>
      <c r="M23" s="184">
        <f t="shared" si="5"/>
        <v>194.07900000000001</v>
      </c>
      <c r="N23" s="182">
        <f t="shared" si="5"/>
        <v>1244.345</v>
      </c>
      <c r="O23" s="187"/>
      <c r="P23" s="149"/>
      <c r="Q23" s="18">
        <f t="shared" si="9"/>
        <v>0</v>
      </c>
      <c r="R23" s="18">
        <f t="shared" si="9"/>
        <v>0</v>
      </c>
      <c r="S23" s="18">
        <f t="shared" si="2"/>
        <v>0</v>
      </c>
      <c r="T23" s="18">
        <f t="shared" si="6"/>
        <v>70.947000000000003</v>
      </c>
      <c r="U23" s="18">
        <f t="shared" si="3"/>
        <v>0</v>
      </c>
      <c r="V23" s="18">
        <f t="shared" si="7"/>
        <v>1438.424</v>
      </c>
    </row>
    <row r="24" spans="1:24" ht="15" x14ac:dyDescent="0.25">
      <c r="A24" s="3">
        <f t="shared" si="8"/>
        <v>16</v>
      </c>
      <c r="B24" s="115">
        <f t="shared" si="4"/>
        <v>45156</v>
      </c>
      <c r="C24" s="116">
        <v>0</v>
      </c>
      <c r="D24" s="116">
        <v>0</v>
      </c>
      <c r="E24" s="62">
        <f t="shared" si="0"/>
        <v>0</v>
      </c>
      <c r="F24" s="62">
        <f t="shared" si="0"/>
        <v>0</v>
      </c>
      <c r="G24" s="155">
        <v>0</v>
      </c>
      <c r="H24" s="156">
        <v>0</v>
      </c>
      <c r="I24" s="62">
        <f t="shared" si="1"/>
        <v>0</v>
      </c>
      <c r="J24" s="62">
        <f t="shared" si="1"/>
        <v>0</v>
      </c>
      <c r="K24" s="202">
        <v>26.166</v>
      </c>
      <c r="L24" s="194">
        <v>57.69</v>
      </c>
      <c r="M24" s="184">
        <f t="shared" si="5"/>
        <v>220.245</v>
      </c>
      <c r="N24" s="182">
        <f t="shared" si="5"/>
        <v>1302.0350000000001</v>
      </c>
      <c r="O24" s="187"/>
      <c r="P24" s="149"/>
      <c r="Q24" s="18">
        <f t="shared" si="9"/>
        <v>0</v>
      </c>
      <c r="R24" s="18">
        <f t="shared" si="9"/>
        <v>0</v>
      </c>
      <c r="S24" s="18">
        <f t="shared" si="2"/>
        <v>0</v>
      </c>
      <c r="T24" s="18">
        <f t="shared" si="6"/>
        <v>83.855999999999995</v>
      </c>
      <c r="U24" s="18">
        <f t="shared" si="3"/>
        <v>0</v>
      </c>
      <c r="V24" s="18">
        <f t="shared" si="7"/>
        <v>1522.2800000000002</v>
      </c>
    </row>
    <row r="25" spans="1:24" ht="15" x14ac:dyDescent="0.25">
      <c r="A25" s="3">
        <f t="shared" si="8"/>
        <v>17</v>
      </c>
      <c r="B25" s="115">
        <f t="shared" si="4"/>
        <v>45163</v>
      </c>
      <c r="C25" s="116">
        <v>0</v>
      </c>
      <c r="D25" s="116">
        <v>0</v>
      </c>
      <c r="E25" s="62">
        <f t="shared" ref="E25:F40" si="10">+C25</f>
        <v>0</v>
      </c>
      <c r="F25" s="62">
        <f t="shared" si="10"/>
        <v>0</v>
      </c>
      <c r="G25" s="155">
        <v>0</v>
      </c>
      <c r="H25" s="156">
        <v>0</v>
      </c>
      <c r="I25" s="62">
        <f t="shared" ref="I25:J40" si="11">+G25</f>
        <v>0</v>
      </c>
      <c r="J25" s="62">
        <f t="shared" si="11"/>
        <v>0</v>
      </c>
      <c r="K25" s="202">
        <v>29.616</v>
      </c>
      <c r="L25" s="194">
        <v>65.554000000000002</v>
      </c>
      <c r="M25" s="184">
        <f t="shared" si="5"/>
        <v>249.86099999999999</v>
      </c>
      <c r="N25" s="182">
        <f t="shared" si="5"/>
        <v>1367.5890000000002</v>
      </c>
      <c r="O25" s="187"/>
      <c r="P25" s="149"/>
      <c r="Q25" s="18">
        <f t="shared" si="9"/>
        <v>0</v>
      </c>
      <c r="R25" s="18">
        <f t="shared" si="9"/>
        <v>0</v>
      </c>
      <c r="S25" s="18">
        <f t="shared" si="2"/>
        <v>0</v>
      </c>
      <c r="T25" s="18">
        <f t="shared" si="6"/>
        <v>95.17</v>
      </c>
      <c r="U25" s="18">
        <f t="shared" si="3"/>
        <v>0</v>
      </c>
      <c r="V25" s="18">
        <f t="shared" si="7"/>
        <v>1617.4500000000003</v>
      </c>
    </row>
    <row r="26" spans="1:24" ht="15" x14ac:dyDescent="0.25">
      <c r="A26" s="3">
        <f t="shared" si="8"/>
        <v>18</v>
      </c>
      <c r="B26" s="115">
        <f t="shared" si="4"/>
        <v>45170</v>
      </c>
      <c r="C26" s="116">
        <v>0</v>
      </c>
      <c r="D26" s="116">
        <v>0</v>
      </c>
      <c r="E26" s="62">
        <f t="shared" si="10"/>
        <v>0</v>
      </c>
      <c r="F26" s="62">
        <f t="shared" si="10"/>
        <v>0</v>
      </c>
      <c r="G26" s="155">
        <v>0</v>
      </c>
      <c r="H26" s="156">
        <v>0</v>
      </c>
      <c r="I26" s="62">
        <f t="shared" si="11"/>
        <v>0</v>
      </c>
      <c r="J26" s="62">
        <f t="shared" si="11"/>
        <v>0</v>
      </c>
      <c r="K26" s="202">
        <v>11.515000000000001</v>
      </c>
      <c r="L26" s="194">
        <v>61.106999999999999</v>
      </c>
      <c r="M26" s="184">
        <f t="shared" ref="M26:N41" si="12">M25+K26</f>
        <v>261.37599999999998</v>
      </c>
      <c r="N26" s="182">
        <f t="shared" si="12"/>
        <v>1428.6960000000001</v>
      </c>
      <c r="O26" s="187"/>
      <c r="P26" s="149"/>
      <c r="Q26" s="18">
        <f t="shared" si="9"/>
        <v>0</v>
      </c>
      <c r="R26" s="18">
        <f t="shared" si="9"/>
        <v>0</v>
      </c>
      <c r="S26" s="18">
        <f t="shared" si="2"/>
        <v>0</v>
      </c>
      <c r="T26" s="18">
        <f t="shared" si="6"/>
        <v>72.622</v>
      </c>
      <c r="U26" s="18">
        <f t="shared" si="3"/>
        <v>0</v>
      </c>
      <c r="V26" s="18">
        <f t="shared" si="7"/>
        <v>1690.0720000000001</v>
      </c>
    </row>
    <row r="27" spans="1:24" ht="15" x14ac:dyDescent="0.25">
      <c r="A27" s="3">
        <f t="shared" si="8"/>
        <v>19</v>
      </c>
      <c r="B27" s="115">
        <f t="shared" si="4"/>
        <v>45177</v>
      </c>
      <c r="C27" s="116">
        <v>0</v>
      </c>
      <c r="D27" s="116">
        <v>0</v>
      </c>
      <c r="E27" s="62">
        <f t="shared" si="10"/>
        <v>0</v>
      </c>
      <c r="F27" s="62">
        <f t="shared" si="10"/>
        <v>0</v>
      </c>
      <c r="G27" s="155">
        <v>0</v>
      </c>
      <c r="H27" s="156">
        <v>0</v>
      </c>
      <c r="I27" s="62">
        <f t="shared" si="11"/>
        <v>0</v>
      </c>
      <c r="J27" s="62">
        <f t="shared" si="11"/>
        <v>0</v>
      </c>
      <c r="K27" s="202">
        <v>33.287999999999997</v>
      </c>
      <c r="L27" s="194">
        <v>32.146000000000001</v>
      </c>
      <c r="M27" s="184">
        <f t="shared" si="12"/>
        <v>294.66399999999999</v>
      </c>
      <c r="N27" s="182">
        <f t="shared" si="12"/>
        <v>1460.8420000000001</v>
      </c>
      <c r="O27" s="187"/>
      <c r="P27" s="149"/>
      <c r="Q27" s="18">
        <f t="shared" si="9"/>
        <v>0</v>
      </c>
      <c r="R27" s="18">
        <f t="shared" si="9"/>
        <v>0</v>
      </c>
      <c r="S27" s="18">
        <f t="shared" si="2"/>
        <v>0</v>
      </c>
      <c r="T27" s="18">
        <f t="shared" si="6"/>
        <v>65.433999999999997</v>
      </c>
      <c r="U27" s="18">
        <f t="shared" si="3"/>
        <v>0</v>
      </c>
      <c r="V27" s="18">
        <f t="shared" si="7"/>
        <v>1755.5060000000001</v>
      </c>
    </row>
    <row r="28" spans="1:24" ht="15" x14ac:dyDescent="0.25">
      <c r="A28" s="3">
        <f t="shared" si="8"/>
        <v>20</v>
      </c>
      <c r="B28" s="115">
        <f t="shared" si="4"/>
        <v>45184</v>
      </c>
      <c r="C28" s="116">
        <v>0</v>
      </c>
      <c r="D28" s="116">
        <v>0</v>
      </c>
      <c r="E28" s="62">
        <f t="shared" si="10"/>
        <v>0</v>
      </c>
      <c r="F28" s="62">
        <f t="shared" si="10"/>
        <v>0</v>
      </c>
      <c r="G28" s="155">
        <v>0</v>
      </c>
      <c r="H28" s="156">
        <v>0</v>
      </c>
      <c r="I28" s="62">
        <f t="shared" si="11"/>
        <v>0</v>
      </c>
      <c r="J28" s="62">
        <f t="shared" si="11"/>
        <v>0</v>
      </c>
      <c r="K28" s="202">
        <v>12.478999999999999</v>
      </c>
      <c r="L28" s="194">
        <v>58.24</v>
      </c>
      <c r="M28" s="184">
        <f t="shared" si="12"/>
        <v>307.14299999999997</v>
      </c>
      <c r="N28" s="182">
        <f t="shared" si="12"/>
        <v>1519.0820000000001</v>
      </c>
      <c r="O28" s="187"/>
      <c r="P28" s="149"/>
      <c r="Q28" s="18">
        <f t="shared" si="9"/>
        <v>0</v>
      </c>
      <c r="R28" s="18">
        <f t="shared" si="9"/>
        <v>0</v>
      </c>
      <c r="S28" s="18" t="s">
        <v>95</v>
      </c>
      <c r="T28" s="18">
        <f t="shared" si="6"/>
        <v>70.718999999999994</v>
      </c>
      <c r="U28" s="18">
        <f t="shared" si="3"/>
        <v>0</v>
      </c>
      <c r="V28" s="18">
        <f t="shared" si="7"/>
        <v>1826.2250000000001</v>
      </c>
    </row>
    <row r="29" spans="1:24" ht="15" x14ac:dyDescent="0.25">
      <c r="A29" s="3">
        <f t="shared" si="8"/>
        <v>21</v>
      </c>
      <c r="B29" s="115">
        <f t="shared" si="4"/>
        <v>45191</v>
      </c>
      <c r="C29" s="116">
        <v>0</v>
      </c>
      <c r="D29" s="116">
        <v>0</v>
      </c>
      <c r="E29" s="62">
        <f t="shared" si="10"/>
        <v>0</v>
      </c>
      <c r="F29" s="62">
        <f t="shared" si="10"/>
        <v>0</v>
      </c>
      <c r="G29" s="155">
        <v>0</v>
      </c>
      <c r="H29" s="156">
        <v>0</v>
      </c>
      <c r="I29" s="62">
        <f t="shared" si="11"/>
        <v>0</v>
      </c>
      <c r="J29" s="62">
        <f t="shared" si="11"/>
        <v>0</v>
      </c>
      <c r="K29" s="202">
        <v>41.085000000000001</v>
      </c>
      <c r="L29" s="194">
        <v>6.4219999999999997</v>
      </c>
      <c r="M29" s="184">
        <f t="shared" si="12"/>
        <v>348.22799999999995</v>
      </c>
      <c r="N29" s="182">
        <f t="shared" si="12"/>
        <v>1525.5040000000001</v>
      </c>
      <c r="O29" s="187"/>
      <c r="P29" s="149"/>
      <c r="Q29" s="18">
        <f t="shared" si="9"/>
        <v>0</v>
      </c>
      <c r="R29" s="18">
        <f t="shared" si="9"/>
        <v>0</v>
      </c>
      <c r="S29" s="18">
        <f t="shared" ref="S29:S60" si="13">C29+D29</f>
        <v>0</v>
      </c>
      <c r="T29" s="18">
        <f t="shared" si="6"/>
        <v>47.506999999999998</v>
      </c>
      <c r="U29" s="18">
        <f t="shared" si="3"/>
        <v>0</v>
      </c>
      <c r="V29" s="18">
        <f t="shared" si="7"/>
        <v>1873.732</v>
      </c>
    </row>
    <row r="30" spans="1:24" ht="15" x14ac:dyDescent="0.25">
      <c r="A30" s="3">
        <f t="shared" si="8"/>
        <v>22</v>
      </c>
      <c r="B30" s="115">
        <f t="shared" si="4"/>
        <v>45198</v>
      </c>
      <c r="C30" s="116">
        <v>0</v>
      </c>
      <c r="D30" s="116">
        <v>0</v>
      </c>
      <c r="E30" s="62">
        <f t="shared" si="10"/>
        <v>0</v>
      </c>
      <c r="F30" s="62">
        <f t="shared" si="10"/>
        <v>0</v>
      </c>
      <c r="G30" s="155">
        <v>0</v>
      </c>
      <c r="H30" s="156">
        <v>0</v>
      </c>
      <c r="I30" s="62">
        <f t="shared" si="11"/>
        <v>0</v>
      </c>
      <c r="J30" s="62">
        <f t="shared" si="11"/>
        <v>0</v>
      </c>
      <c r="K30" s="202">
        <v>17.847000000000001</v>
      </c>
      <c r="L30" s="194">
        <v>9.5190000000000001</v>
      </c>
      <c r="M30" s="184">
        <f t="shared" si="12"/>
        <v>366.07499999999993</v>
      </c>
      <c r="N30" s="182">
        <f t="shared" si="12"/>
        <v>1535.0230000000001</v>
      </c>
      <c r="O30" s="188"/>
      <c r="P30" s="150"/>
      <c r="Q30" s="18"/>
      <c r="R30" s="18"/>
      <c r="S30" s="50">
        <f t="shared" si="13"/>
        <v>0</v>
      </c>
      <c r="T30" s="18">
        <f t="shared" si="6"/>
        <v>27.366</v>
      </c>
      <c r="U30" s="46">
        <f t="shared" si="3"/>
        <v>0</v>
      </c>
      <c r="V30" s="18">
        <f t="shared" si="7"/>
        <v>1901.098</v>
      </c>
    </row>
    <row r="31" spans="1:24" ht="15" x14ac:dyDescent="0.25">
      <c r="A31" s="3">
        <f t="shared" si="8"/>
        <v>23</v>
      </c>
      <c r="B31" s="115">
        <f t="shared" si="4"/>
        <v>45205</v>
      </c>
      <c r="C31" s="116">
        <v>0</v>
      </c>
      <c r="D31" s="116">
        <v>0</v>
      </c>
      <c r="E31" s="62">
        <f t="shared" si="10"/>
        <v>0</v>
      </c>
      <c r="F31" s="62">
        <f t="shared" si="10"/>
        <v>0</v>
      </c>
      <c r="G31" s="155">
        <v>0</v>
      </c>
      <c r="H31" s="156">
        <v>0</v>
      </c>
      <c r="I31" s="62">
        <f t="shared" si="11"/>
        <v>0</v>
      </c>
      <c r="J31" s="62">
        <f t="shared" si="11"/>
        <v>0</v>
      </c>
      <c r="K31" s="202">
        <v>15.907</v>
      </c>
      <c r="L31" s="194">
        <v>64.091999999999999</v>
      </c>
      <c r="M31" s="184">
        <f t="shared" si="12"/>
        <v>381.98199999999991</v>
      </c>
      <c r="N31" s="182">
        <f t="shared" si="12"/>
        <v>1599.1150000000002</v>
      </c>
      <c r="O31" s="187"/>
      <c r="P31" s="149"/>
      <c r="Q31" s="18"/>
      <c r="R31" s="18"/>
      <c r="S31" s="19">
        <f t="shared" si="13"/>
        <v>0</v>
      </c>
      <c r="T31" s="18">
        <f t="shared" si="6"/>
        <v>79.998999999999995</v>
      </c>
      <c r="U31" s="18">
        <f t="shared" si="3"/>
        <v>0</v>
      </c>
      <c r="V31" s="46">
        <f t="shared" si="7"/>
        <v>1981.0970000000002</v>
      </c>
      <c r="X31" s="67" t="s">
        <v>84</v>
      </c>
    </row>
    <row r="32" spans="1:24" ht="15" x14ac:dyDescent="0.25">
      <c r="A32" s="3">
        <f t="shared" si="8"/>
        <v>24</v>
      </c>
      <c r="B32" s="115">
        <f t="shared" si="4"/>
        <v>45212</v>
      </c>
      <c r="C32" s="116">
        <v>0</v>
      </c>
      <c r="D32" s="116">
        <v>0</v>
      </c>
      <c r="E32" s="62">
        <f t="shared" si="10"/>
        <v>0</v>
      </c>
      <c r="F32" s="62">
        <f t="shared" si="10"/>
        <v>0</v>
      </c>
      <c r="G32" s="155">
        <v>0</v>
      </c>
      <c r="H32" s="156">
        <v>0</v>
      </c>
      <c r="I32" s="62">
        <f t="shared" si="11"/>
        <v>0</v>
      </c>
      <c r="J32" s="62">
        <f t="shared" si="11"/>
        <v>0</v>
      </c>
      <c r="K32" s="202">
        <v>20.048999999999999</v>
      </c>
      <c r="L32" s="194">
        <v>64.778999999999996</v>
      </c>
      <c r="M32" s="184">
        <f t="shared" si="12"/>
        <v>402.03099999999989</v>
      </c>
      <c r="N32" s="182">
        <f t="shared" si="12"/>
        <v>1663.8940000000002</v>
      </c>
      <c r="O32" s="187"/>
      <c r="P32" s="149"/>
      <c r="Q32" s="18"/>
      <c r="R32" s="18"/>
      <c r="S32" s="19">
        <f t="shared" si="13"/>
        <v>0</v>
      </c>
      <c r="T32" s="18">
        <f t="shared" si="6"/>
        <v>84.828000000000003</v>
      </c>
      <c r="U32" s="18">
        <f t="shared" si="3"/>
        <v>0</v>
      </c>
      <c r="V32" s="46">
        <f t="shared" si="7"/>
        <v>2065.9250000000002</v>
      </c>
    </row>
    <row r="33" spans="1:22" ht="15" x14ac:dyDescent="0.25">
      <c r="A33" s="3">
        <f t="shared" si="8"/>
        <v>25</v>
      </c>
      <c r="B33" s="115">
        <f t="shared" si="4"/>
        <v>45219</v>
      </c>
      <c r="C33" s="116">
        <v>0</v>
      </c>
      <c r="D33" s="116">
        <v>0</v>
      </c>
      <c r="E33" s="62">
        <f t="shared" si="10"/>
        <v>0</v>
      </c>
      <c r="F33" s="62">
        <f t="shared" si="10"/>
        <v>0</v>
      </c>
      <c r="G33" s="155">
        <v>0</v>
      </c>
      <c r="H33" s="156">
        <v>0</v>
      </c>
      <c r="I33" s="62">
        <f t="shared" si="11"/>
        <v>0</v>
      </c>
      <c r="J33" s="62">
        <f t="shared" si="11"/>
        <v>0</v>
      </c>
      <c r="K33" s="202">
        <v>21.452999999999999</v>
      </c>
      <c r="L33" s="194">
        <v>31.745000000000001</v>
      </c>
      <c r="M33" s="184">
        <f t="shared" si="12"/>
        <v>423.48399999999987</v>
      </c>
      <c r="N33" s="182">
        <f t="shared" si="12"/>
        <v>1695.6390000000001</v>
      </c>
      <c r="O33" s="187"/>
      <c r="P33" s="149"/>
      <c r="Q33" s="18"/>
      <c r="R33" s="18"/>
      <c r="S33" s="19">
        <f t="shared" si="13"/>
        <v>0</v>
      </c>
      <c r="T33" s="18">
        <f t="shared" si="6"/>
        <v>53.198</v>
      </c>
      <c r="U33" s="18">
        <f t="shared" si="3"/>
        <v>0</v>
      </c>
      <c r="V33" s="46">
        <f t="shared" si="7"/>
        <v>2119.123</v>
      </c>
    </row>
    <row r="34" spans="1:22" ht="15" x14ac:dyDescent="0.25">
      <c r="A34" s="3">
        <f t="shared" si="8"/>
        <v>26</v>
      </c>
      <c r="B34" s="115">
        <f t="shared" si="4"/>
        <v>45226</v>
      </c>
      <c r="C34" s="116">
        <v>0</v>
      </c>
      <c r="D34" s="116">
        <v>0</v>
      </c>
      <c r="E34" s="62">
        <f t="shared" si="10"/>
        <v>0</v>
      </c>
      <c r="F34" s="62">
        <f t="shared" si="10"/>
        <v>0</v>
      </c>
      <c r="G34" s="155">
        <v>0</v>
      </c>
      <c r="H34" s="156">
        <v>0</v>
      </c>
      <c r="I34" s="62">
        <f t="shared" si="11"/>
        <v>0</v>
      </c>
      <c r="J34" s="62">
        <f t="shared" si="11"/>
        <v>0</v>
      </c>
      <c r="K34" s="202">
        <v>25.454999999999998</v>
      </c>
      <c r="L34" s="194">
        <v>40.643999999999998</v>
      </c>
      <c r="M34" s="184">
        <f t="shared" si="12"/>
        <v>448.93899999999985</v>
      </c>
      <c r="N34" s="182">
        <f t="shared" si="12"/>
        <v>1736.2830000000001</v>
      </c>
      <c r="O34" s="187"/>
      <c r="P34" s="149"/>
      <c r="Q34" s="18"/>
      <c r="R34" s="18"/>
      <c r="S34" s="19">
        <f t="shared" si="13"/>
        <v>0</v>
      </c>
      <c r="T34" s="18">
        <f t="shared" si="6"/>
        <v>66.09899999999999</v>
      </c>
      <c r="U34" s="18">
        <f t="shared" si="3"/>
        <v>0</v>
      </c>
      <c r="V34" s="46">
        <f t="shared" si="7"/>
        <v>2185.2219999999998</v>
      </c>
    </row>
    <row r="35" spans="1:22" ht="15" x14ac:dyDescent="0.25">
      <c r="A35" s="3">
        <f t="shared" si="8"/>
        <v>27</v>
      </c>
      <c r="B35" s="115">
        <f t="shared" si="4"/>
        <v>45233</v>
      </c>
      <c r="C35" s="116">
        <v>0</v>
      </c>
      <c r="D35" s="116">
        <v>0</v>
      </c>
      <c r="E35" s="62">
        <f t="shared" si="10"/>
        <v>0</v>
      </c>
      <c r="F35" s="62">
        <f t="shared" si="10"/>
        <v>0</v>
      </c>
      <c r="G35" s="155">
        <v>0</v>
      </c>
      <c r="H35" s="156">
        <v>0</v>
      </c>
      <c r="I35" s="62">
        <f t="shared" si="11"/>
        <v>0</v>
      </c>
      <c r="J35" s="62">
        <f t="shared" si="11"/>
        <v>0</v>
      </c>
      <c r="K35" s="202">
        <v>19.068999999999999</v>
      </c>
      <c r="L35" s="194">
        <v>8.8279999999999994</v>
      </c>
      <c r="M35" s="184">
        <f t="shared" si="12"/>
        <v>468.00799999999987</v>
      </c>
      <c r="N35" s="182">
        <f t="shared" si="12"/>
        <v>1745.1110000000001</v>
      </c>
      <c r="O35" s="187"/>
      <c r="P35" s="149"/>
      <c r="Q35" s="18"/>
      <c r="R35" s="18"/>
      <c r="S35" s="19">
        <f t="shared" si="13"/>
        <v>0</v>
      </c>
      <c r="T35" s="18">
        <f t="shared" si="6"/>
        <v>27.896999999999998</v>
      </c>
      <c r="U35" s="18">
        <f t="shared" si="3"/>
        <v>0</v>
      </c>
      <c r="V35" s="46">
        <f t="shared" si="7"/>
        <v>2213.1190000000001</v>
      </c>
    </row>
    <row r="36" spans="1:22" ht="15" x14ac:dyDescent="0.25">
      <c r="A36" s="3">
        <f t="shared" si="8"/>
        <v>28</v>
      </c>
      <c r="B36" s="115">
        <f t="shared" si="4"/>
        <v>45240</v>
      </c>
      <c r="C36" s="116">
        <v>0</v>
      </c>
      <c r="D36" s="116">
        <v>0</v>
      </c>
      <c r="E36" s="62">
        <f t="shared" si="10"/>
        <v>0</v>
      </c>
      <c r="F36" s="62">
        <f t="shared" si="10"/>
        <v>0</v>
      </c>
      <c r="G36" s="155">
        <v>0</v>
      </c>
      <c r="H36" s="156">
        <v>0</v>
      </c>
      <c r="I36" s="62">
        <f t="shared" si="11"/>
        <v>0</v>
      </c>
      <c r="J36" s="62">
        <f t="shared" si="11"/>
        <v>0</v>
      </c>
      <c r="K36" s="202">
        <v>19.367999999999999</v>
      </c>
      <c r="L36" s="194">
        <v>66.953999999999994</v>
      </c>
      <c r="M36" s="184">
        <f t="shared" si="12"/>
        <v>487.37599999999986</v>
      </c>
      <c r="N36" s="182">
        <f t="shared" si="12"/>
        <v>1812.0650000000001</v>
      </c>
      <c r="O36" s="187"/>
      <c r="P36" s="149"/>
      <c r="Q36" s="18"/>
      <c r="R36" s="18"/>
      <c r="S36" s="19">
        <f t="shared" si="13"/>
        <v>0</v>
      </c>
      <c r="T36" s="18">
        <f t="shared" si="6"/>
        <v>86.321999999999989</v>
      </c>
      <c r="U36" s="18">
        <f t="shared" si="3"/>
        <v>0</v>
      </c>
      <c r="V36" s="46">
        <f t="shared" si="7"/>
        <v>2299.4409999999998</v>
      </c>
    </row>
    <row r="37" spans="1:22" ht="15" x14ac:dyDescent="0.25">
      <c r="A37" s="3">
        <f t="shared" si="8"/>
        <v>29</v>
      </c>
      <c r="B37" s="115">
        <f t="shared" si="4"/>
        <v>45247</v>
      </c>
      <c r="C37" s="116">
        <v>0</v>
      </c>
      <c r="D37" s="116">
        <v>0</v>
      </c>
      <c r="E37" s="62">
        <f t="shared" si="10"/>
        <v>0</v>
      </c>
      <c r="F37" s="62">
        <f t="shared" si="10"/>
        <v>0</v>
      </c>
      <c r="G37" s="155">
        <v>0</v>
      </c>
      <c r="H37" s="156">
        <v>0</v>
      </c>
      <c r="I37" s="62">
        <f t="shared" si="11"/>
        <v>0</v>
      </c>
      <c r="J37" s="62">
        <f t="shared" si="11"/>
        <v>0</v>
      </c>
      <c r="K37" s="202">
        <v>23.582999999999998</v>
      </c>
      <c r="L37" s="194">
        <v>11.026</v>
      </c>
      <c r="M37" s="184">
        <f t="shared" si="12"/>
        <v>510.95899999999983</v>
      </c>
      <c r="N37" s="182">
        <f t="shared" si="12"/>
        <v>1823.0910000000001</v>
      </c>
      <c r="O37" s="187"/>
      <c r="P37" s="149"/>
      <c r="Q37" s="18"/>
      <c r="R37" s="18"/>
      <c r="S37" s="19">
        <f t="shared" si="13"/>
        <v>0</v>
      </c>
      <c r="T37" s="18">
        <f t="shared" si="6"/>
        <v>34.608999999999995</v>
      </c>
      <c r="U37" s="18">
        <f t="shared" si="3"/>
        <v>0</v>
      </c>
      <c r="V37" s="46">
        <f t="shared" si="7"/>
        <v>2334.0500000000002</v>
      </c>
    </row>
    <row r="38" spans="1:22" ht="15" x14ac:dyDescent="0.25">
      <c r="A38" s="3">
        <f t="shared" si="8"/>
        <v>30</v>
      </c>
      <c r="B38" s="115">
        <f t="shared" si="4"/>
        <v>45254</v>
      </c>
      <c r="C38" s="116">
        <v>0</v>
      </c>
      <c r="D38" s="116">
        <v>0</v>
      </c>
      <c r="E38" s="62">
        <f t="shared" si="10"/>
        <v>0</v>
      </c>
      <c r="F38" s="62">
        <f t="shared" si="10"/>
        <v>0</v>
      </c>
      <c r="G38" s="155">
        <v>0</v>
      </c>
      <c r="H38" s="156">
        <v>0</v>
      </c>
      <c r="I38" s="62">
        <f t="shared" si="11"/>
        <v>0</v>
      </c>
      <c r="J38" s="62">
        <f t="shared" si="11"/>
        <v>0</v>
      </c>
      <c r="K38" s="202">
        <v>29.774000000000001</v>
      </c>
      <c r="L38" s="194">
        <v>16.574999999999999</v>
      </c>
      <c r="M38" s="184">
        <f t="shared" si="12"/>
        <v>540.73299999999983</v>
      </c>
      <c r="N38" s="182">
        <f t="shared" si="12"/>
        <v>1839.6660000000002</v>
      </c>
      <c r="O38" s="187"/>
      <c r="P38" s="149"/>
      <c r="Q38" s="18"/>
      <c r="R38" s="18"/>
      <c r="S38" s="19">
        <f t="shared" si="13"/>
        <v>0</v>
      </c>
      <c r="T38" s="18">
        <f t="shared" si="6"/>
        <v>46.349000000000004</v>
      </c>
      <c r="U38" s="18">
        <f t="shared" si="3"/>
        <v>0</v>
      </c>
      <c r="V38" s="46">
        <f t="shared" si="7"/>
        <v>2380.3989999999999</v>
      </c>
    </row>
    <row r="39" spans="1:22" ht="15" x14ac:dyDescent="0.25">
      <c r="A39" s="3">
        <f t="shared" si="8"/>
        <v>31</v>
      </c>
      <c r="B39" s="115">
        <f t="shared" si="4"/>
        <v>45261</v>
      </c>
      <c r="C39" s="116">
        <v>0</v>
      </c>
      <c r="D39" s="116">
        <v>0</v>
      </c>
      <c r="E39" s="62">
        <f t="shared" si="10"/>
        <v>0</v>
      </c>
      <c r="F39" s="62">
        <f t="shared" si="10"/>
        <v>0</v>
      </c>
      <c r="G39" s="155">
        <v>0</v>
      </c>
      <c r="H39" s="156">
        <v>0</v>
      </c>
      <c r="I39" s="62">
        <f t="shared" si="11"/>
        <v>0</v>
      </c>
      <c r="J39" s="62">
        <f t="shared" si="11"/>
        <v>0</v>
      </c>
      <c r="K39" s="202">
        <v>23.268000000000001</v>
      </c>
      <c r="L39" s="194">
        <v>13.407</v>
      </c>
      <c r="M39" s="184">
        <f t="shared" si="12"/>
        <v>564.00099999999986</v>
      </c>
      <c r="N39" s="182">
        <f t="shared" si="12"/>
        <v>1853.0730000000001</v>
      </c>
      <c r="O39" s="187"/>
      <c r="P39" s="149"/>
      <c r="Q39" s="18"/>
      <c r="R39" s="18"/>
      <c r="S39" s="19">
        <f t="shared" si="13"/>
        <v>0</v>
      </c>
      <c r="T39" s="18">
        <f t="shared" si="6"/>
        <v>36.674999999999997</v>
      </c>
      <c r="U39" s="18">
        <f t="shared" si="3"/>
        <v>0</v>
      </c>
      <c r="V39" s="46">
        <f t="shared" si="7"/>
        <v>2417.0740000000001</v>
      </c>
    </row>
    <row r="40" spans="1:22" ht="15" x14ac:dyDescent="0.25">
      <c r="A40" s="3">
        <f t="shared" si="8"/>
        <v>32</v>
      </c>
      <c r="B40" s="115">
        <f t="shared" si="4"/>
        <v>45268</v>
      </c>
      <c r="C40" s="116">
        <v>0</v>
      </c>
      <c r="D40" s="116">
        <v>0</v>
      </c>
      <c r="E40" s="62">
        <f t="shared" si="10"/>
        <v>0</v>
      </c>
      <c r="F40" s="62">
        <f t="shared" si="10"/>
        <v>0</v>
      </c>
      <c r="G40" s="155">
        <v>0</v>
      </c>
      <c r="H40" s="156">
        <v>0</v>
      </c>
      <c r="I40" s="62">
        <f t="shared" si="11"/>
        <v>0</v>
      </c>
      <c r="J40" s="62">
        <f t="shared" si="11"/>
        <v>0</v>
      </c>
      <c r="K40" s="202">
        <v>23.297000000000001</v>
      </c>
      <c r="L40" s="194">
        <v>30.013000000000002</v>
      </c>
      <c r="M40" s="184">
        <f t="shared" si="12"/>
        <v>587.29799999999989</v>
      </c>
      <c r="N40" s="182">
        <f t="shared" si="12"/>
        <v>1883.086</v>
      </c>
      <c r="O40" s="187"/>
      <c r="P40" s="149"/>
      <c r="Q40" s="18"/>
      <c r="R40" s="18"/>
      <c r="S40" s="19">
        <f t="shared" si="13"/>
        <v>0</v>
      </c>
      <c r="T40" s="18">
        <f t="shared" si="6"/>
        <v>53.31</v>
      </c>
      <c r="U40" s="18">
        <f t="shared" si="3"/>
        <v>0</v>
      </c>
      <c r="V40" s="46">
        <f t="shared" si="7"/>
        <v>2470.384</v>
      </c>
    </row>
    <row r="41" spans="1:22" ht="15" x14ac:dyDescent="0.25">
      <c r="A41" s="3">
        <f t="shared" si="8"/>
        <v>33</v>
      </c>
      <c r="B41" s="115">
        <f t="shared" si="4"/>
        <v>45275</v>
      </c>
      <c r="C41" s="116">
        <v>0</v>
      </c>
      <c r="D41" s="116">
        <v>0</v>
      </c>
      <c r="E41" s="62">
        <f t="shared" ref="E41:F47" si="14">+C41</f>
        <v>0</v>
      </c>
      <c r="F41" s="62">
        <f t="shared" si="14"/>
        <v>0</v>
      </c>
      <c r="G41" s="155">
        <v>0</v>
      </c>
      <c r="H41" s="156">
        <v>0</v>
      </c>
      <c r="I41" s="62">
        <f t="shared" ref="I41:J47" si="15">+G41</f>
        <v>0</v>
      </c>
      <c r="J41" s="62">
        <f t="shared" si="15"/>
        <v>0</v>
      </c>
      <c r="K41" s="202">
        <v>19.363</v>
      </c>
      <c r="L41" s="194">
        <v>28.710999999999999</v>
      </c>
      <c r="M41" s="184">
        <f t="shared" si="12"/>
        <v>606.66099999999983</v>
      </c>
      <c r="N41" s="182">
        <f t="shared" si="12"/>
        <v>1911.797</v>
      </c>
      <c r="O41" s="187"/>
      <c r="P41" s="149"/>
      <c r="Q41" s="18"/>
      <c r="R41" s="18"/>
      <c r="S41" s="19">
        <f t="shared" si="13"/>
        <v>0</v>
      </c>
      <c r="T41" s="18">
        <f t="shared" si="6"/>
        <v>48.073999999999998</v>
      </c>
      <c r="U41" s="18">
        <f t="shared" si="3"/>
        <v>0</v>
      </c>
      <c r="V41" s="46">
        <f t="shared" si="7"/>
        <v>2518.4579999999996</v>
      </c>
    </row>
    <row r="42" spans="1:22" ht="15" x14ac:dyDescent="0.25">
      <c r="A42" s="3">
        <f t="shared" si="8"/>
        <v>34</v>
      </c>
      <c r="B42" s="115">
        <f t="shared" si="4"/>
        <v>45282</v>
      </c>
      <c r="C42" s="116">
        <v>0</v>
      </c>
      <c r="D42" s="116">
        <v>0</v>
      </c>
      <c r="E42" s="62">
        <f t="shared" si="14"/>
        <v>0</v>
      </c>
      <c r="F42" s="62">
        <f t="shared" si="14"/>
        <v>0</v>
      </c>
      <c r="G42" s="155">
        <v>0</v>
      </c>
      <c r="H42" s="156">
        <v>0</v>
      </c>
      <c r="I42" s="62">
        <f t="shared" si="15"/>
        <v>0</v>
      </c>
      <c r="J42" s="62">
        <f t="shared" si="15"/>
        <v>0</v>
      </c>
      <c r="K42" s="202">
        <v>21.445</v>
      </c>
      <c r="L42" s="194">
        <v>35.392000000000003</v>
      </c>
      <c r="M42" s="184">
        <f t="shared" ref="M42:M56" si="16">M41+K42</f>
        <v>628.10599999999988</v>
      </c>
      <c r="N42" s="182">
        <f t="shared" ref="M42:N57" si="17">N41+L42</f>
        <v>1947.1890000000001</v>
      </c>
      <c r="O42" s="187"/>
      <c r="P42" s="149"/>
      <c r="Q42" s="18"/>
      <c r="R42" s="18"/>
      <c r="S42" s="19">
        <f t="shared" si="13"/>
        <v>0</v>
      </c>
      <c r="T42" s="18">
        <f t="shared" si="6"/>
        <v>56.837000000000003</v>
      </c>
      <c r="U42" s="18">
        <f t="shared" si="3"/>
        <v>0</v>
      </c>
      <c r="V42" s="46">
        <f t="shared" si="7"/>
        <v>2575.2950000000001</v>
      </c>
    </row>
    <row r="43" spans="1:22" ht="15" x14ac:dyDescent="0.25">
      <c r="A43" s="3">
        <f t="shared" si="8"/>
        <v>35</v>
      </c>
      <c r="B43" s="115">
        <f t="shared" si="4"/>
        <v>45289</v>
      </c>
      <c r="C43" s="116">
        <v>0</v>
      </c>
      <c r="D43" s="116">
        <v>0</v>
      </c>
      <c r="E43" s="62">
        <f t="shared" si="14"/>
        <v>0</v>
      </c>
      <c r="F43" s="62">
        <f t="shared" si="14"/>
        <v>0</v>
      </c>
      <c r="G43" s="155">
        <v>0</v>
      </c>
      <c r="H43" s="156">
        <v>0</v>
      </c>
      <c r="I43" s="62">
        <f t="shared" si="15"/>
        <v>0</v>
      </c>
      <c r="J43" s="62">
        <f t="shared" si="15"/>
        <v>0</v>
      </c>
      <c r="K43" s="202">
        <v>38.652999999999999</v>
      </c>
      <c r="L43" s="194">
        <v>4.5330000000000004</v>
      </c>
      <c r="M43" s="184">
        <f t="shared" si="16"/>
        <v>666.7589999999999</v>
      </c>
      <c r="N43" s="182">
        <f t="shared" si="17"/>
        <v>1951.722</v>
      </c>
      <c r="O43" s="187"/>
      <c r="P43" s="149"/>
      <c r="Q43" s="18"/>
      <c r="R43" s="18"/>
      <c r="S43" s="19">
        <f t="shared" si="13"/>
        <v>0</v>
      </c>
      <c r="T43" s="18">
        <f t="shared" si="6"/>
        <v>43.186</v>
      </c>
      <c r="U43" s="18">
        <f t="shared" si="3"/>
        <v>0</v>
      </c>
      <c r="V43" s="46">
        <f t="shared" si="7"/>
        <v>2618.4809999999998</v>
      </c>
    </row>
    <row r="44" spans="1:22" ht="15" x14ac:dyDescent="0.25">
      <c r="A44" s="3">
        <f t="shared" si="8"/>
        <v>36</v>
      </c>
      <c r="B44" s="115">
        <f t="shared" si="4"/>
        <v>45296</v>
      </c>
      <c r="C44" s="116">
        <v>0</v>
      </c>
      <c r="D44" s="116">
        <v>0</v>
      </c>
      <c r="E44" s="62">
        <f t="shared" si="14"/>
        <v>0</v>
      </c>
      <c r="F44" s="62">
        <f t="shared" si="14"/>
        <v>0</v>
      </c>
      <c r="G44" s="155">
        <v>0</v>
      </c>
      <c r="H44" s="156">
        <v>0</v>
      </c>
      <c r="I44" s="62">
        <f t="shared" si="15"/>
        <v>0</v>
      </c>
      <c r="J44" s="62">
        <f t="shared" si="15"/>
        <v>0</v>
      </c>
      <c r="K44" s="202">
        <v>19.814</v>
      </c>
      <c r="L44" s="194">
        <v>9.7140000000000004</v>
      </c>
      <c r="M44" s="184">
        <f t="shared" si="16"/>
        <v>686.57299999999987</v>
      </c>
      <c r="N44" s="182">
        <f t="shared" si="17"/>
        <v>1961.4359999999999</v>
      </c>
      <c r="O44" s="187"/>
      <c r="P44" s="149"/>
      <c r="Q44" s="18"/>
      <c r="R44" s="18"/>
      <c r="S44" s="19">
        <f t="shared" si="13"/>
        <v>0</v>
      </c>
      <c r="T44" s="18">
        <f t="shared" si="6"/>
        <v>29.527999999999999</v>
      </c>
      <c r="U44" s="18">
        <f t="shared" si="3"/>
        <v>0</v>
      </c>
      <c r="V44" s="46">
        <f t="shared" si="7"/>
        <v>2648.009</v>
      </c>
    </row>
    <row r="45" spans="1:22" ht="15" x14ac:dyDescent="0.25">
      <c r="A45" s="3">
        <f t="shared" si="8"/>
        <v>37</v>
      </c>
      <c r="B45" s="115">
        <f t="shared" si="4"/>
        <v>45303</v>
      </c>
      <c r="C45" s="116">
        <v>0</v>
      </c>
      <c r="D45" s="116">
        <v>0</v>
      </c>
      <c r="E45" s="62">
        <f t="shared" si="14"/>
        <v>0</v>
      </c>
      <c r="F45" s="62">
        <f t="shared" si="14"/>
        <v>0</v>
      </c>
      <c r="G45" s="155">
        <v>0</v>
      </c>
      <c r="H45" s="156">
        <v>0</v>
      </c>
      <c r="I45" s="62">
        <f t="shared" si="15"/>
        <v>0</v>
      </c>
      <c r="J45" s="62">
        <f t="shared" si="15"/>
        <v>0</v>
      </c>
      <c r="K45" s="202">
        <v>32.927999999999997</v>
      </c>
      <c r="L45" s="194">
        <v>14.234999999999999</v>
      </c>
      <c r="M45" s="184">
        <f t="shared" si="16"/>
        <v>719.50099999999986</v>
      </c>
      <c r="N45" s="182">
        <f t="shared" si="17"/>
        <v>1975.6709999999998</v>
      </c>
      <c r="O45" s="187"/>
      <c r="P45" s="149"/>
      <c r="Q45" s="18"/>
      <c r="R45" s="18"/>
      <c r="S45" s="19">
        <f t="shared" si="13"/>
        <v>0</v>
      </c>
      <c r="T45" s="18">
        <f t="shared" si="6"/>
        <v>47.162999999999997</v>
      </c>
      <c r="U45" s="18">
        <f t="shared" si="3"/>
        <v>0</v>
      </c>
      <c r="V45" s="46">
        <f t="shared" si="7"/>
        <v>2695.1719999999996</v>
      </c>
    </row>
    <row r="46" spans="1:22" ht="15" x14ac:dyDescent="0.25">
      <c r="A46" s="3">
        <f t="shared" si="8"/>
        <v>38</v>
      </c>
      <c r="B46" s="115">
        <f t="shared" si="4"/>
        <v>45310</v>
      </c>
      <c r="C46" s="116">
        <v>0</v>
      </c>
      <c r="D46" s="116">
        <v>0</v>
      </c>
      <c r="E46" s="62">
        <f t="shared" si="14"/>
        <v>0</v>
      </c>
      <c r="F46" s="62">
        <f t="shared" si="14"/>
        <v>0</v>
      </c>
      <c r="G46" s="155">
        <v>0</v>
      </c>
      <c r="H46" s="156">
        <v>0</v>
      </c>
      <c r="I46" s="62">
        <f t="shared" si="15"/>
        <v>0</v>
      </c>
      <c r="J46" s="62">
        <f t="shared" si="15"/>
        <v>0</v>
      </c>
      <c r="K46" s="202">
        <v>37.252000000000002</v>
      </c>
      <c r="L46" s="194">
        <v>10.865</v>
      </c>
      <c r="M46" s="184">
        <f t="shared" si="16"/>
        <v>756.75299999999982</v>
      </c>
      <c r="N46" s="182">
        <f t="shared" si="17"/>
        <v>1986.5359999999998</v>
      </c>
      <c r="O46" s="187"/>
      <c r="P46" s="149"/>
      <c r="Q46" s="18"/>
      <c r="R46" s="18"/>
      <c r="S46" s="19">
        <f t="shared" si="13"/>
        <v>0</v>
      </c>
      <c r="T46" s="18">
        <f t="shared" si="6"/>
        <v>48.117000000000004</v>
      </c>
      <c r="U46" s="18">
        <f t="shared" si="3"/>
        <v>0</v>
      </c>
      <c r="V46" s="46">
        <f t="shared" si="7"/>
        <v>2743.2889999999998</v>
      </c>
    </row>
    <row r="47" spans="1:22" ht="15" x14ac:dyDescent="0.25">
      <c r="A47" s="3">
        <f t="shared" si="8"/>
        <v>39</v>
      </c>
      <c r="B47" s="115">
        <f t="shared" si="4"/>
        <v>45317</v>
      </c>
      <c r="C47" s="116">
        <v>0</v>
      </c>
      <c r="D47" s="116">
        <v>0</v>
      </c>
      <c r="E47" s="62">
        <f t="shared" si="14"/>
        <v>0</v>
      </c>
      <c r="F47" s="62">
        <f t="shared" si="14"/>
        <v>0</v>
      </c>
      <c r="G47" s="155">
        <v>0</v>
      </c>
      <c r="H47" s="156">
        <v>0</v>
      </c>
      <c r="I47" s="62">
        <f t="shared" si="15"/>
        <v>0</v>
      </c>
      <c r="J47" s="62">
        <f t="shared" si="15"/>
        <v>0</v>
      </c>
      <c r="K47" s="202">
        <v>43.854999999999997</v>
      </c>
      <c r="L47" s="194">
        <v>16.003</v>
      </c>
      <c r="M47" s="184">
        <f t="shared" si="16"/>
        <v>800.60799999999983</v>
      </c>
      <c r="N47" s="182">
        <f t="shared" si="17"/>
        <v>2002.5389999999998</v>
      </c>
      <c r="O47" s="187"/>
      <c r="P47" s="149"/>
      <c r="Q47" s="18"/>
      <c r="R47" s="18"/>
      <c r="S47" s="19">
        <f t="shared" si="13"/>
        <v>0</v>
      </c>
      <c r="T47" s="18">
        <f t="shared" si="6"/>
        <v>59.857999999999997</v>
      </c>
      <c r="U47" s="18">
        <f t="shared" si="3"/>
        <v>0</v>
      </c>
      <c r="V47" s="46">
        <f t="shared" si="7"/>
        <v>2803.1469999999995</v>
      </c>
    </row>
    <row r="48" spans="1:22" ht="15" x14ac:dyDescent="0.25">
      <c r="A48" s="3">
        <f t="shared" si="8"/>
        <v>40</v>
      </c>
      <c r="B48" s="115">
        <f t="shared" si="4"/>
        <v>45324</v>
      </c>
      <c r="C48" s="116">
        <v>0</v>
      </c>
      <c r="D48" s="116">
        <v>0</v>
      </c>
      <c r="E48" s="62">
        <f>+C48</f>
        <v>0</v>
      </c>
      <c r="F48" s="62">
        <f>+D48</f>
        <v>0</v>
      </c>
      <c r="G48" s="155">
        <v>0</v>
      </c>
      <c r="H48" s="156">
        <v>0</v>
      </c>
      <c r="I48" s="62">
        <f>+G48</f>
        <v>0</v>
      </c>
      <c r="J48" s="62">
        <f>+H48</f>
        <v>0</v>
      </c>
      <c r="K48" s="202">
        <v>57.204000000000001</v>
      </c>
      <c r="L48" s="194">
        <v>11.824999999999999</v>
      </c>
      <c r="M48" s="184">
        <f t="shared" si="16"/>
        <v>857.81199999999978</v>
      </c>
      <c r="N48" s="182">
        <f t="shared" si="17"/>
        <v>2014.3639999999998</v>
      </c>
      <c r="O48" s="187"/>
      <c r="P48" s="149"/>
      <c r="Q48" s="18"/>
      <c r="R48" s="18"/>
      <c r="S48" s="19">
        <f t="shared" si="13"/>
        <v>0</v>
      </c>
      <c r="T48" s="18">
        <f t="shared" si="6"/>
        <v>69.028999999999996</v>
      </c>
      <c r="U48" s="18">
        <f t="shared" si="3"/>
        <v>0</v>
      </c>
      <c r="V48" s="46">
        <f t="shared" si="7"/>
        <v>2872.1759999999995</v>
      </c>
    </row>
    <row r="49" spans="1:22" ht="15" x14ac:dyDescent="0.25">
      <c r="A49" s="3">
        <f t="shared" si="8"/>
        <v>41</v>
      </c>
      <c r="B49" s="115">
        <f t="shared" si="4"/>
        <v>45331</v>
      </c>
      <c r="C49" s="116">
        <v>0</v>
      </c>
      <c r="D49" s="116">
        <v>0</v>
      </c>
      <c r="E49" s="62">
        <f>+C49</f>
        <v>0</v>
      </c>
      <c r="F49" s="62">
        <f>+D49</f>
        <v>0</v>
      </c>
      <c r="G49" s="155">
        <v>0</v>
      </c>
      <c r="H49" s="156">
        <v>0</v>
      </c>
      <c r="I49" s="62">
        <f>+G49</f>
        <v>0</v>
      </c>
      <c r="J49" s="62">
        <f>+H49</f>
        <v>0</v>
      </c>
      <c r="K49" s="202">
        <v>36.116</v>
      </c>
      <c r="L49" s="194">
        <v>13.095000000000001</v>
      </c>
      <c r="M49" s="184">
        <f t="shared" si="16"/>
        <v>893.92799999999977</v>
      </c>
      <c r="N49" s="182">
        <f t="shared" si="17"/>
        <v>2027.4589999999998</v>
      </c>
      <c r="O49" s="187"/>
      <c r="P49" s="149"/>
      <c r="Q49" s="18"/>
      <c r="R49" s="18"/>
      <c r="S49" s="19">
        <f t="shared" si="13"/>
        <v>0</v>
      </c>
      <c r="T49" s="18">
        <f t="shared" si="6"/>
        <v>49.210999999999999</v>
      </c>
      <c r="U49" s="18">
        <f t="shared" si="3"/>
        <v>0</v>
      </c>
      <c r="V49" s="46">
        <f t="shared" si="7"/>
        <v>2921.3869999999997</v>
      </c>
    </row>
    <row r="50" spans="1:22" ht="15" x14ac:dyDescent="0.25">
      <c r="A50" s="3">
        <f t="shared" si="8"/>
        <v>42</v>
      </c>
      <c r="B50" s="115">
        <f t="shared" si="4"/>
        <v>45338</v>
      </c>
      <c r="C50" s="116">
        <v>0</v>
      </c>
      <c r="D50" s="116">
        <v>0</v>
      </c>
      <c r="E50" s="62">
        <f t="shared" ref="E50:F59" si="18">+C50</f>
        <v>0</v>
      </c>
      <c r="F50" s="62">
        <f t="shared" si="18"/>
        <v>0</v>
      </c>
      <c r="G50" s="155">
        <v>0</v>
      </c>
      <c r="H50" s="156">
        <v>0</v>
      </c>
      <c r="I50" s="62">
        <f t="shared" ref="I50:J59" si="19">+G50</f>
        <v>0</v>
      </c>
      <c r="J50" s="62">
        <f t="shared" si="19"/>
        <v>0</v>
      </c>
      <c r="K50" s="202">
        <v>36.432000000000002</v>
      </c>
      <c r="L50" s="194">
        <v>12.663</v>
      </c>
      <c r="M50" s="184">
        <f t="shared" si="16"/>
        <v>930.35999999999979</v>
      </c>
      <c r="N50" s="182">
        <f t="shared" si="17"/>
        <v>2040.1219999999998</v>
      </c>
      <c r="O50" s="187"/>
      <c r="P50" s="149"/>
      <c r="Q50" s="18"/>
      <c r="R50" s="18"/>
      <c r="S50" s="19">
        <f t="shared" si="13"/>
        <v>0</v>
      </c>
      <c r="T50" s="18">
        <f t="shared" si="6"/>
        <v>49.094999999999999</v>
      </c>
      <c r="U50" s="18">
        <f t="shared" si="3"/>
        <v>0</v>
      </c>
      <c r="V50" s="46">
        <f t="shared" si="7"/>
        <v>2970.4819999999995</v>
      </c>
    </row>
    <row r="51" spans="1:22" ht="15" x14ac:dyDescent="0.25">
      <c r="A51" s="3">
        <f t="shared" si="8"/>
        <v>43</v>
      </c>
      <c r="B51" s="115">
        <f t="shared" si="4"/>
        <v>45345</v>
      </c>
      <c r="C51" s="116">
        <v>0</v>
      </c>
      <c r="D51" s="116">
        <v>0</v>
      </c>
      <c r="E51" s="62">
        <f t="shared" si="18"/>
        <v>0</v>
      </c>
      <c r="F51" s="62">
        <f t="shared" si="18"/>
        <v>0</v>
      </c>
      <c r="G51" s="155">
        <v>0</v>
      </c>
      <c r="H51" s="156">
        <v>0</v>
      </c>
      <c r="I51" s="62">
        <f t="shared" si="19"/>
        <v>0</v>
      </c>
      <c r="J51" s="62">
        <f t="shared" si="19"/>
        <v>0</v>
      </c>
      <c r="K51" s="202">
        <v>35.963000000000001</v>
      </c>
      <c r="L51" s="194">
        <v>15.212999999999999</v>
      </c>
      <c r="M51" s="184">
        <f t="shared" si="16"/>
        <v>966.32299999999975</v>
      </c>
      <c r="N51" s="182">
        <f t="shared" si="17"/>
        <v>2055.335</v>
      </c>
      <c r="O51" s="187"/>
      <c r="P51" s="149"/>
      <c r="Q51" s="18"/>
      <c r="R51" s="18"/>
      <c r="S51" s="19">
        <f t="shared" si="13"/>
        <v>0</v>
      </c>
      <c r="T51" s="18">
        <f t="shared" si="6"/>
        <v>51.176000000000002</v>
      </c>
      <c r="U51" s="18">
        <f t="shared" si="3"/>
        <v>0</v>
      </c>
      <c r="V51" s="46">
        <f t="shared" si="7"/>
        <v>3021.6579999999999</v>
      </c>
    </row>
    <row r="52" spans="1:22" ht="15" x14ac:dyDescent="0.25">
      <c r="A52" s="3">
        <f t="shared" si="8"/>
        <v>44</v>
      </c>
      <c r="B52" s="115">
        <f t="shared" si="4"/>
        <v>45352</v>
      </c>
      <c r="C52" s="116">
        <v>0</v>
      </c>
      <c r="D52" s="116">
        <v>0</v>
      </c>
      <c r="E52" s="62">
        <f t="shared" si="18"/>
        <v>0</v>
      </c>
      <c r="F52" s="62">
        <f t="shared" si="18"/>
        <v>0</v>
      </c>
      <c r="G52" s="155">
        <v>0</v>
      </c>
      <c r="H52" s="156">
        <v>0</v>
      </c>
      <c r="I52" s="62">
        <f t="shared" si="19"/>
        <v>0</v>
      </c>
      <c r="J52" s="62">
        <f t="shared" si="19"/>
        <v>0</v>
      </c>
      <c r="K52" s="206">
        <v>33.392000000000003</v>
      </c>
      <c r="L52" s="194">
        <v>11.584</v>
      </c>
      <c r="M52" s="184">
        <f t="shared" si="16"/>
        <v>999.7149999999998</v>
      </c>
      <c r="N52" s="182">
        <f t="shared" si="17"/>
        <v>2066.9189999999999</v>
      </c>
      <c r="O52" s="187"/>
      <c r="P52" s="149"/>
      <c r="Q52" s="18"/>
      <c r="R52" s="18"/>
      <c r="S52" s="19">
        <f t="shared" si="13"/>
        <v>0</v>
      </c>
      <c r="T52" s="18">
        <f t="shared" si="6"/>
        <v>44.975999999999999</v>
      </c>
      <c r="U52" s="18">
        <f t="shared" si="3"/>
        <v>0</v>
      </c>
      <c r="V52" s="46">
        <f t="shared" si="7"/>
        <v>3066.6339999999996</v>
      </c>
    </row>
    <row r="53" spans="1:22" ht="15" x14ac:dyDescent="0.25">
      <c r="A53" s="3">
        <f t="shared" si="8"/>
        <v>45</v>
      </c>
      <c r="B53" s="115">
        <f t="shared" si="4"/>
        <v>45359</v>
      </c>
      <c r="C53" s="116">
        <v>0</v>
      </c>
      <c r="D53" s="116">
        <v>0</v>
      </c>
      <c r="E53" s="62">
        <f t="shared" si="18"/>
        <v>0</v>
      </c>
      <c r="F53" s="62">
        <f t="shared" si="18"/>
        <v>0</v>
      </c>
      <c r="G53" s="155">
        <v>0</v>
      </c>
      <c r="H53" s="156">
        <v>0</v>
      </c>
      <c r="I53" s="62">
        <f t="shared" si="19"/>
        <v>0</v>
      </c>
      <c r="J53" s="62">
        <f t="shared" si="19"/>
        <v>0</v>
      </c>
      <c r="K53" s="206">
        <v>33.210999999999999</v>
      </c>
      <c r="L53" s="194">
        <v>14.439</v>
      </c>
      <c r="M53" s="184">
        <f t="shared" si="16"/>
        <v>1032.9259999999997</v>
      </c>
      <c r="N53" s="182">
        <f t="shared" si="17"/>
        <v>2081.3579999999997</v>
      </c>
      <c r="O53" s="187"/>
      <c r="P53" s="149"/>
      <c r="Q53" s="18"/>
      <c r="R53" s="18"/>
      <c r="S53" s="19">
        <f t="shared" si="13"/>
        <v>0</v>
      </c>
      <c r="T53" s="18">
        <f t="shared" si="6"/>
        <v>47.65</v>
      </c>
      <c r="U53" s="18">
        <f t="shared" si="3"/>
        <v>0</v>
      </c>
      <c r="V53" s="46">
        <f t="shared" si="7"/>
        <v>3114.2839999999997</v>
      </c>
    </row>
    <row r="54" spans="1:22" ht="15" x14ac:dyDescent="0.25">
      <c r="A54" s="3">
        <f t="shared" si="8"/>
        <v>46</v>
      </c>
      <c r="B54" s="115">
        <f t="shared" si="4"/>
        <v>45366</v>
      </c>
      <c r="C54" s="116">
        <v>0</v>
      </c>
      <c r="D54" s="116">
        <v>0</v>
      </c>
      <c r="E54" s="62">
        <f t="shared" si="18"/>
        <v>0</v>
      </c>
      <c r="F54" s="62">
        <f t="shared" si="18"/>
        <v>0</v>
      </c>
      <c r="G54" s="155">
        <v>0</v>
      </c>
      <c r="H54" s="156">
        <v>0</v>
      </c>
      <c r="I54" s="62">
        <f t="shared" si="19"/>
        <v>0</v>
      </c>
      <c r="J54" s="62">
        <f t="shared" si="19"/>
        <v>0</v>
      </c>
      <c r="K54" s="206">
        <v>34.374000000000002</v>
      </c>
      <c r="L54" s="194">
        <v>12.907</v>
      </c>
      <c r="M54" s="184">
        <f t="shared" si="16"/>
        <v>1067.2999999999997</v>
      </c>
      <c r="N54" s="182">
        <f t="shared" si="17"/>
        <v>2094.2649999999999</v>
      </c>
      <c r="O54" s="187"/>
      <c r="P54" s="149"/>
      <c r="Q54" s="18"/>
      <c r="R54" s="18"/>
      <c r="S54" s="19">
        <f t="shared" si="13"/>
        <v>0</v>
      </c>
      <c r="T54" s="18">
        <f t="shared" si="6"/>
        <v>47.281000000000006</v>
      </c>
      <c r="U54" s="18">
        <f t="shared" si="3"/>
        <v>0</v>
      </c>
      <c r="V54" s="46">
        <f t="shared" si="7"/>
        <v>3161.5649999999996</v>
      </c>
    </row>
    <row r="55" spans="1:22" ht="15" x14ac:dyDescent="0.25">
      <c r="A55" s="3">
        <f t="shared" si="8"/>
        <v>47</v>
      </c>
      <c r="B55" s="115">
        <f t="shared" si="4"/>
        <v>45373</v>
      </c>
      <c r="C55" s="116">
        <v>0</v>
      </c>
      <c r="D55" s="116">
        <v>0</v>
      </c>
      <c r="E55" s="62">
        <f t="shared" si="18"/>
        <v>0</v>
      </c>
      <c r="F55" s="62">
        <f t="shared" si="18"/>
        <v>0</v>
      </c>
      <c r="G55" s="155">
        <v>0</v>
      </c>
      <c r="H55" s="156">
        <v>0</v>
      </c>
      <c r="I55" s="62">
        <f t="shared" si="19"/>
        <v>0</v>
      </c>
      <c r="J55" s="62">
        <f t="shared" si="19"/>
        <v>0</v>
      </c>
      <c r="K55" s="206">
        <v>35.055</v>
      </c>
      <c r="L55" s="194">
        <v>12.516999999999999</v>
      </c>
      <c r="M55" s="184">
        <f t="shared" si="16"/>
        <v>1102.3549999999998</v>
      </c>
      <c r="N55" s="182">
        <f t="shared" si="17"/>
        <v>2106.7819999999997</v>
      </c>
      <c r="O55" s="187"/>
      <c r="P55" s="149"/>
      <c r="Q55" s="18"/>
      <c r="R55" s="18"/>
      <c r="S55" s="19">
        <f t="shared" si="13"/>
        <v>0</v>
      </c>
      <c r="T55" s="18">
        <f t="shared" si="6"/>
        <v>47.572000000000003</v>
      </c>
      <c r="U55" s="18">
        <f t="shared" si="3"/>
        <v>0</v>
      </c>
      <c r="V55" s="46">
        <f t="shared" si="7"/>
        <v>3209.1369999999997</v>
      </c>
    </row>
    <row r="56" spans="1:22" ht="15" x14ac:dyDescent="0.25">
      <c r="A56" s="3">
        <f t="shared" si="8"/>
        <v>48</v>
      </c>
      <c r="B56" s="115">
        <f t="shared" si="4"/>
        <v>45380</v>
      </c>
      <c r="C56" s="116">
        <v>0</v>
      </c>
      <c r="D56" s="116">
        <v>0</v>
      </c>
      <c r="E56" s="62">
        <f t="shared" si="18"/>
        <v>0</v>
      </c>
      <c r="F56" s="62">
        <f t="shared" si="18"/>
        <v>0</v>
      </c>
      <c r="G56" s="155">
        <v>0</v>
      </c>
      <c r="H56" s="156">
        <v>0</v>
      </c>
      <c r="I56" s="62">
        <f t="shared" si="19"/>
        <v>0</v>
      </c>
      <c r="J56" s="62">
        <f t="shared" si="19"/>
        <v>0</v>
      </c>
      <c r="K56" s="206">
        <v>30.661999999999999</v>
      </c>
      <c r="L56" s="194">
        <v>8.5579999999999998</v>
      </c>
      <c r="M56" s="184">
        <f t="shared" si="16"/>
        <v>1133.0169999999998</v>
      </c>
      <c r="N56" s="182">
        <f t="shared" si="17"/>
        <v>2115.3399999999997</v>
      </c>
      <c r="O56" s="187"/>
      <c r="P56" s="149"/>
      <c r="Q56" s="18"/>
      <c r="R56" s="18"/>
      <c r="S56" s="19">
        <f t="shared" si="13"/>
        <v>0</v>
      </c>
      <c r="T56" s="18">
        <f t="shared" si="6"/>
        <v>39.22</v>
      </c>
      <c r="U56" s="18">
        <f t="shared" si="3"/>
        <v>0</v>
      </c>
      <c r="V56" s="46">
        <f t="shared" si="7"/>
        <v>3248.3569999999995</v>
      </c>
    </row>
    <row r="57" spans="1:22" ht="15" x14ac:dyDescent="0.25">
      <c r="A57" s="3">
        <f t="shared" si="8"/>
        <v>49</v>
      </c>
      <c r="B57" s="115">
        <f t="shared" si="4"/>
        <v>45387</v>
      </c>
      <c r="C57" s="116">
        <v>0</v>
      </c>
      <c r="D57" s="116">
        <v>0</v>
      </c>
      <c r="E57" s="62">
        <f t="shared" si="18"/>
        <v>0</v>
      </c>
      <c r="F57" s="62">
        <f t="shared" si="18"/>
        <v>0</v>
      </c>
      <c r="G57" s="155">
        <v>0</v>
      </c>
      <c r="H57" s="156">
        <v>0</v>
      </c>
      <c r="I57" s="62">
        <f t="shared" si="19"/>
        <v>0</v>
      </c>
      <c r="J57" s="62">
        <f t="shared" si="19"/>
        <v>0</v>
      </c>
      <c r="K57" s="206">
        <v>28.271000000000001</v>
      </c>
      <c r="L57" s="194">
        <v>10.582000000000001</v>
      </c>
      <c r="M57" s="184">
        <f t="shared" si="17"/>
        <v>1161.2879999999998</v>
      </c>
      <c r="N57" s="182">
        <f t="shared" si="17"/>
        <v>2125.9219999999996</v>
      </c>
      <c r="O57" s="187"/>
      <c r="P57" s="149"/>
      <c r="Q57" s="18"/>
      <c r="R57" s="18"/>
      <c r="S57" s="19">
        <f t="shared" si="13"/>
        <v>0</v>
      </c>
      <c r="T57" s="18">
        <f>K57+L57</f>
        <v>38.853000000000002</v>
      </c>
      <c r="U57" s="18">
        <f t="shared" si="3"/>
        <v>0</v>
      </c>
      <c r="V57" s="46">
        <f t="shared" si="7"/>
        <v>3287.2099999999991</v>
      </c>
    </row>
    <row r="58" spans="1:22" ht="15" x14ac:dyDescent="0.25">
      <c r="A58" s="3">
        <f t="shared" si="8"/>
        <v>50</v>
      </c>
      <c r="B58" s="115">
        <f t="shared" si="4"/>
        <v>45394</v>
      </c>
      <c r="C58" s="116">
        <v>0</v>
      </c>
      <c r="D58" s="116">
        <v>0</v>
      </c>
      <c r="E58" s="62">
        <f t="shared" si="18"/>
        <v>0</v>
      </c>
      <c r="F58" s="62">
        <f t="shared" si="18"/>
        <v>0</v>
      </c>
      <c r="G58" s="155">
        <v>0</v>
      </c>
      <c r="H58" s="156">
        <v>0</v>
      </c>
      <c r="I58" s="62">
        <f t="shared" si="19"/>
        <v>0</v>
      </c>
      <c r="J58" s="62">
        <f t="shared" si="19"/>
        <v>0</v>
      </c>
      <c r="K58" s="206">
        <v>34.404000000000003</v>
      </c>
      <c r="L58" s="194">
        <v>12.662000000000001</v>
      </c>
      <c r="M58" s="184">
        <f t="shared" ref="M58:N60" si="20">M57+K58</f>
        <v>1195.6919999999998</v>
      </c>
      <c r="N58" s="182">
        <f t="shared" si="20"/>
        <v>2138.5839999999994</v>
      </c>
      <c r="O58" s="187"/>
      <c r="P58" s="149"/>
      <c r="Q58" s="18"/>
      <c r="R58" s="18"/>
      <c r="S58" s="19">
        <f t="shared" si="13"/>
        <v>0</v>
      </c>
      <c r="T58" s="18">
        <f t="shared" si="6"/>
        <v>47.066000000000003</v>
      </c>
      <c r="U58" s="18">
        <f t="shared" si="3"/>
        <v>0</v>
      </c>
      <c r="V58" s="46">
        <f t="shared" si="7"/>
        <v>3334.2759999999989</v>
      </c>
    </row>
    <row r="59" spans="1:22" ht="15" x14ac:dyDescent="0.25">
      <c r="A59" s="3">
        <f t="shared" si="8"/>
        <v>51</v>
      </c>
      <c r="B59" s="115">
        <f t="shared" si="4"/>
        <v>45401</v>
      </c>
      <c r="C59" s="116">
        <v>0</v>
      </c>
      <c r="D59" s="116">
        <v>0</v>
      </c>
      <c r="E59" s="62">
        <f t="shared" si="18"/>
        <v>0</v>
      </c>
      <c r="F59" s="62">
        <f t="shared" si="18"/>
        <v>0</v>
      </c>
      <c r="G59" s="155">
        <v>0</v>
      </c>
      <c r="H59" s="156">
        <v>0</v>
      </c>
      <c r="I59" s="62">
        <f t="shared" si="19"/>
        <v>0</v>
      </c>
      <c r="J59" s="62">
        <f t="shared" si="19"/>
        <v>0</v>
      </c>
      <c r="K59" s="203">
        <v>30.89</v>
      </c>
      <c r="L59" s="207">
        <v>13.307</v>
      </c>
      <c r="M59" s="184">
        <f t="shared" si="20"/>
        <v>1226.5819999999999</v>
      </c>
      <c r="N59" s="182">
        <f t="shared" si="20"/>
        <v>2151.8909999999992</v>
      </c>
      <c r="O59" s="187"/>
      <c r="P59" s="149"/>
      <c r="Q59" s="18"/>
      <c r="R59" s="18"/>
      <c r="S59" s="19">
        <f t="shared" si="13"/>
        <v>0</v>
      </c>
      <c r="T59" s="18">
        <f t="shared" si="6"/>
        <v>44.197000000000003</v>
      </c>
      <c r="U59" s="18">
        <f t="shared" si="3"/>
        <v>0</v>
      </c>
      <c r="V59" s="46">
        <f t="shared" si="7"/>
        <v>3378.472999999999</v>
      </c>
    </row>
    <row r="60" spans="1:22" ht="15" x14ac:dyDescent="0.25">
      <c r="A60" s="3">
        <f t="shared" si="8"/>
        <v>52</v>
      </c>
      <c r="B60" s="115">
        <f t="shared" si="4"/>
        <v>45408</v>
      </c>
      <c r="C60" s="116">
        <v>0</v>
      </c>
      <c r="D60" s="116">
        <v>0</v>
      </c>
      <c r="E60" s="62">
        <f>E59+C60</f>
        <v>0</v>
      </c>
      <c r="F60" s="62">
        <f>F59+D60</f>
        <v>0</v>
      </c>
      <c r="G60" s="155">
        <v>0</v>
      </c>
      <c r="H60" s="156">
        <v>0</v>
      </c>
      <c r="I60" s="62">
        <f>+G60</f>
        <v>0</v>
      </c>
      <c r="J60" s="62">
        <f>+H60</f>
        <v>0</v>
      </c>
      <c r="K60" s="203">
        <v>23.164000000000001</v>
      </c>
      <c r="L60" s="194">
        <v>15.237</v>
      </c>
      <c r="M60" s="184">
        <f t="shared" si="20"/>
        <v>1249.7459999999999</v>
      </c>
      <c r="N60" s="182">
        <f t="shared" si="20"/>
        <v>2167.1279999999992</v>
      </c>
      <c r="O60" s="187"/>
      <c r="P60" s="149"/>
      <c r="Q60" s="18"/>
      <c r="R60" s="18"/>
      <c r="S60" s="19">
        <f t="shared" si="13"/>
        <v>0</v>
      </c>
      <c r="T60" s="18">
        <f t="shared" si="6"/>
        <v>38.401000000000003</v>
      </c>
      <c r="U60" s="18">
        <f t="shared" si="3"/>
        <v>0</v>
      </c>
      <c r="V60" s="46">
        <f t="shared" si="7"/>
        <v>3416.8739999999989</v>
      </c>
    </row>
    <row r="61" spans="1:22" ht="15.75" thickBot="1" x14ac:dyDescent="0.3">
      <c r="A61" s="3">
        <f t="shared" si="8"/>
        <v>53</v>
      </c>
      <c r="B61" s="167"/>
      <c r="C61" s="172">
        <v>0</v>
      </c>
      <c r="D61" s="172">
        <v>0</v>
      </c>
      <c r="E61" s="173">
        <f>E60+C61</f>
        <v>0</v>
      </c>
      <c r="F61" s="60">
        <f>F60+D61</f>
        <v>0</v>
      </c>
      <c r="G61" s="162">
        <v>0</v>
      </c>
      <c r="H61" s="163">
        <v>0</v>
      </c>
      <c r="I61" s="60">
        <f>+G61</f>
        <v>0</v>
      </c>
      <c r="J61" s="174">
        <f>+H61</f>
        <v>0</v>
      </c>
      <c r="K61" s="204"/>
      <c r="L61" s="195"/>
      <c r="M61" s="185">
        <f>M60+K61</f>
        <v>1249.7459999999999</v>
      </c>
      <c r="N61" s="190">
        <f>N60+L61</f>
        <v>2167.1279999999992</v>
      </c>
      <c r="O61" s="189"/>
      <c r="P61" s="151"/>
      <c r="Q61" s="49"/>
      <c r="R61" s="49"/>
      <c r="S61" s="47">
        <f>C61+D61</f>
        <v>0</v>
      </c>
      <c r="T61" s="49">
        <f>K61+L61</f>
        <v>0</v>
      </c>
      <c r="U61" s="49">
        <f>E61+F61</f>
        <v>0</v>
      </c>
      <c r="V61" s="48">
        <f>M61+N61</f>
        <v>3416.8739999999989</v>
      </c>
    </row>
    <row r="62" spans="1:22" x14ac:dyDescent="0.2">
      <c r="B62" s="45"/>
      <c r="E62" s="63"/>
      <c r="F62" s="63"/>
      <c r="G62" s="63"/>
      <c r="H62" s="63"/>
      <c r="I62" s="63"/>
      <c r="J62" s="63"/>
      <c r="M62" s="182"/>
      <c r="N62" s="19"/>
      <c r="O62" s="19"/>
      <c r="P62" s="19"/>
      <c r="Q62" s="19"/>
      <c r="R62" s="19"/>
      <c r="S62" s="19"/>
      <c r="T62" s="19"/>
      <c r="U62" s="19"/>
      <c r="V62" s="19"/>
    </row>
    <row r="63" spans="1:22" x14ac:dyDescent="0.2">
      <c r="B63" s="45"/>
    </row>
    <row r="64" spans="1:22" x14ac:dyDescent="0.2">
      <c r="B64" s="45"/>
    </row>
    <row r="65" spans="2:11" x14ac:dyDescent="0.2">
      <c r="B65" s="45"/>
    </row>
    <row r="66" spans="2:11" x14ac:dyDescent="0.2">
      <c r="B66" s="45"/>
    </row>
    <row r="67" spans="2:11" x14ac:dyDescent="0.2">
      <c r="B67" s="45"/>
    </row>
    <row r="68" spans="2:11" x14ac:dyDescent="0.2">
      <c r="B68" s="45"/>
    </row>
    <row r="69" spans="2:11" x14ac:dyDescent="0.2">
      <c r="B69" s="45"/>
      <c r="K69" s="205"/>
    </row>
    <row r="70" spans="2:11" x14ac:dyDescent="0.2">
      <c r="B70" s="45"/>
    </row>
    <row r="71" spans="2:11" x14ac:dyDescent="0.2">
      <c r="B71" s="45"/>
    </row>
    <row r="72" spans="2:11" x14ac:dyDescent="0.2">
      <c r="B72" s="45"/>
    </row>
    <row r="73" spans="2:11" x14ac:dyDescent="0.2">
      <c r="B73" s="45"/>
    </row>
    <row r="74" spans="2:11" x14ac:dyDescent="0.2">
      <c r="B74" s="45"/>
    </row>
    <row r="75" spans="2:11" x14ac:dyDescent="0.2">
      <c r="B75" s="45"/>
    </row>
    <row r="76" spans="2:11" x14ac:dyDescent="0.2">
      <c r="B76" s="45"/>
    </row>
    <row r="77" spans="2:11" x14ac:dyDescent="0.2">
      <c r="B77" s="45"/>
    </row>
    <row r="78" spans="2:11" x14ac:dyDescent="0.2">
      <c r="B78" s="20"/>
    </row>
    <row r="79" spans="2:11" x14ac:dyDescent="0.2">
      <c r="B79" s="20"/>
    </row>
    <row r="80" spans="2:11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  <row r="3381" spans="2:2" x14ac:dyDescent="0.2">
      <c r="B3381" s="20"/>
    </row>
    <row r="3382" spans="2:2" x14ac:dyDescent="0.2">
      <c r="B3382" s="20"/>
    </row>
    <row r="3383" spans="2:2" x14ac:dyDescent="0.2">
      <c r="B3383" s="20"/>
    </row>
    <row r="3384" spans="2:2" x14ac:dyDescent="0.2">
      <c r="B3384" s="20"/>
    </row>
    <row r="3385" spans="2:2" x14ac:dyDescent="0.2">
      <c r="B3385" s="20"/>
    </row>
    <row r="3386" spans="2:2" x14ac:dyDescent="0.2">
      <c r="B3386" s="20"/>
    </row>
    <row r="3387" spans="2:2" x14ac:dyDescent="0.2">
      <c r="B3387" s="20"/>
    </row>
    <row r="3388" spans="2:2" x14ac:dyDescent="0.2">
      <c r="B3388" s="20"/>
    </row>
    <row r="3389" spans="2:2" x14ac:dyDescent="0.2">
      <c r="B3389" s="20"/>
    </row>
    <row r="3390" spans="2:2" x14ac:dyDescent="0.2">
      <c r="B3390" s="20"/>
    </row>
    <row r="3391" spans="2:2" x14ac:dyDescent="0.2">
      <c r="B3391" s="20"/>
    </row>
    <row r="3392" spans="2:2" x14ac:dyDescent="0.2">
      <c r="B3392" s="20"/>
    </row>
    <row r="3393" spans="2:2" x14ac:dyDescent="0.2">
      <c r="B3393" s="20"/>
    </row>
    <row r="3394" spans="2:2" x14ac:dyDescent="0.2">
      <c r="B3394" s="20"/>
    </row>
    <row r="3395" spans="2:2" x14ac:dyDescent="0.2">
      <c r="B3395" s="20"/>
    </row>
    <row r="3396" spans="2:2" x14ac:dyDescent="0.2">
      <c r="B3396" s="20"/>
    </row>
    <row r="3397" spans="2:2" x14ac:dyDescent="0.2">
      <c r="B3397" s="20"/>
    </row>
    <row r="3398" spans="2:2" x14ac:dyDescent="0.2">
      <c r="B3398" s="20"/>
    </row>
    <row r="3399" spans="2:2" x14ac:dyDescent="0.2">
      <c r="B3399" s="20"/>
    </row>
    <row r="3400" spans="2:2" x14ac:dyDescent="0.2">
      <c r="B3400" s="20"/>
    </row>
    <row r="3401" spans="2:2" x14ac:dyDescent="0.2">
      <c r="B3401" s="20"/>
    </row>
    <row r="3402" spans="2:2" x14ac:dyDescent="0.2">
      <c r="B3402" s="20"/>
    </row>
    <row r="3403" spans="2:2" x14ac:dyDescent="0.2">
      <c r="B3403" s="20"/>
    </row>
    <row r="3404" spans="2:2" x14ac:dyDescent="0.2">
      <c r="B3404" s="20"/>
    </row>
    <row r="3405" spans="2:2" x14ac:dyDescent="0.2">
      <c r="B3405" s="20"/>
    </row>
    <row r="3406" spans="2:2" x14ac:dyDescent="0.2">
      <c r="B3406" s="20"/>
    </row>
    <row r="3407" spans="2:2" x14ac:dyDescent="0.2">
      <c r="B3407" s="20"/>
    </row>
    <row r="3408" spans="2:2" x14ac:dyDescent="0.2">
      <c r="B3408" s="20"/>
    </row>
    <row r="3409" spans="2:2" x14ac:dyDescent="0.2">
      <c r="B3409" s="20"/>
    </row>
    <row r="3410" spans="2:2" x14ac:dyDescent="0.2">
      <c r="B3410" s="20"/>
    </row>
    <row r="3411" spans="2:2" x14ac:dyDescent="0.2">
      <c r="B3411" s="20"/>
    </row>
    <row r="3412" spans="2:2" x14ac:dyDescent="0.2">
      <c r="B3412" s="20"/>
    </row>
    <row r="3413" spans="2:2" x14ac:dyDescent="0.2">
      <c r="B3413" s="20"/>
    </row>
    <row r="3414" spans="2:2" x14ac:dyDescent="0.2">
      <c r="B3414" s="20"/>
    </row>
    <row r="3415" spans="2:2" x14ac:dyDescent="0.2">
      <c r="B3415" s="20"/>
    </row>
    <row r="3416" spans="2:2" x14ac:dyDescent="0.2">
      <c r="B3416" s="20"/>
    </row>
    <row r="3417" spans="2:2" x14ac:dyDescent="0.2">
      <c r="B3417" s="20"/>
    </row>
    <row r="3418" spans="2:2" x14ac:dyDescent="0.2">
      <c r="B3418" s="20"/>
    </row>
    <row r="3419" spans="2:2" x14ac:dyDescent="0.2">
      <c r="B3419" s="20"/>
    </row>
    <row r="3420" spans="2:2" x14ac:dyDescent="0.2">
      <c r="B3420" s="20"/>
    </row>
    <row r="3421" spans="2:2" x14ac:dyDescent="0.2">
      <c r="B3421" s="20"/>
    </row>
    <row r="3422" spans="2:2" x14ac:dyDescent="0.2">
      <c r="B3422" s="20"/>
    </row>
    <row r="3423" spans="2:2" x14ac:dyDescent="0.2">
      <c r="B3423" s="20"/>
    </row>
    <row r="3424" spans="2:2" x14ac:dyDescent="0.2">
      <c r="B3424" s="20"/>
    </row>
    <row r="3425" spans="2:2" x14ac:dyDescent="0.2">
      <c r="B3425" s="20"/>
    </row>
    <row r="3426" spans="2:2" x14ac:dyDescent="0.2">
      <c r="B3426" s="20"/>
    </row>
    <row r="3427" spans="2:2" x14ac:dyDescent="0.2">
      <c r="B3427" s="20"/>
    </row>
    <row r="3428" spans="2:2" x14ac:dyDescent="0.2">
      <c r="B3428" s="20"/>
    </row>
    <row r="3429" spans="2:2" x14ac:dyDescent="0.2">
      <c r="B3429" s="20"/>
    </row>
    <row r="3430" spans="2:2" x14ac:dyDescent="0.2">
      <c r="B3430" s="20"/>
    </row>
    <row r="3431" spans="2:2" x14ac:dyDescent="0.2">
      <c r="B3431" s="20"/>
    </row>
    <row r="3432" spans="2:2" x14ac:dyDescent="0.2">
      <c r="B3432" s="20"/>
    </row>
    <row r="3433" spans="2:2" x14ac:dyDescent="0.2">
      <c r="B3433" s="20"/>
    </row>
    <row r="3434" spans="2:2" x14ac:dyDescent="0.2">
      <c r="B3434" s="20"/>
    </row>
    <row r="3435" spans="2:2" x14ac:dyDescent="0.2">
      <c r="B3435" s="20"/>
    </row>
    <row r="3436" spans="2:2" x14ac:dyDescent="0.2">
      <c r="B3436" s="20"/>
    </row>
    <row r="3437" spans="2:2" x14ac:dyDescent="0.2">
      <c r="B3437" s="20"/>
    </row>
    <row r="3438" spans="2:2" x14ac:dyDescent="0.2">
      <c r="B3438" s="20"/>
    </row>
    <row r="3439" spans="2:2" x14ac:dyDescent="0.2">
      <c r="B3439" s="20"/>
    </row>
    <row r="3440" spans="2:2" x14ac:dyDescent="0.2">
      <c r="B3440" s="20"/>
    </row>
    <row r="3441" spans="2:2" x14ac:dyDescent="0.2">
      <c r="B3441" s="20"/>
    </row>
    <row r="3442" spans="2:2" x14ac:dyDescent="0.2">
      <c r="B3442" s="20"/>
    </row>
    <row r="3443" spans="2:2" x14ac:dyDescent="0.2">
      <c r="B3443" s="20"/>
    </row>
    <row r="3444" spans="2:2" x14ac:dyDescent="0.2">
      <c r="B3444" s="20"/>
    </row>
    <row r="3445" spans="2:2" x14ac:dyDescent="0.2">
      <c r="B3445" s="20"/>
    </row>
    <row r="3446" spans="2:2" x14ac:dyDescent="0.2">
      <c r="B3446" s="20"/>
    </row>
    <row r="3447" spans="2:2" x14ac:dyDescent="0.2">
      <c r="B3447" s="20"/>
    </row>
    <row r="3448" spans="2:2" x14ac:dyDescent="0.2">
      <c r="B3448" s="20"/>
    </row>
    <row r="3449" spans="2:2" x14ac:dyDescent="0.2">
      <c r="B3449" s="20"/>
    </row>
    <row r="3450" spans="2:2" x14ac:dyDescent="0.2">
      <c r="B3450" s="20"/>
    </row>
    <row r="3451" spans="2:2" x14ac:dyDescent="0.2">
      <c r="B3451" s="20"/>
    </row>
    <row r="3452" spans="2:2" x14ac:dyDescent="0.2">
      <c r="B3452" s="20"/>
    </row>
    <row r="3453" spans="2:2" x14ac:dyDescent="0.2">
      <c r="B3453" s="20"/>
    </row>
    <row r="3454" spans="2:2" x14ac:dyDescent="0.2">
      <c r="B3454" s="20"/>
    </row>
    <row r="3455" spans="2:2" x14ac:dyDescent="0.2">
      <c r="B3455" s="20"/>
    </row>
    <row r="3456" spans="2:2" x14ac:dyDescent="0.2">
      <c r="B3456" s="20"/>
    </row>
    <row r="3457" spans="2:2" x14ac:dyDescent="0.2">
      <c r="B3457" s="20"/>
    </row>
    <row r="3458" spans="2:2" x14ac:dyDescent="0.2">
      <c r="B3458" s="20"/>
    </row>
    <row r="3459" spans="2:2" x14ac:dyDescent="0.2">
      <c r="B3459" s="20"/>
    </row>
    <row r="3460" spans="2:2" x14ac:dyDescent="0.2">
      <c r="B3460" s="20"/>
    </row>
    <row r="3461" spans="2:2" x14ac:dyDescent="0.2">
      <c r="B3461" s="20"/>
    </row>
    <row r="3462" spans="2:2" x14ac:dyDescent="0.2">
      <c r="B3462" s="20"/>
    </row>
    <row r="3463" spans="2:2" x14ac:dyDescent="0.2">
      <c r="B3463" s="20"/>
    </row>
    <row r="3464" spans="2:2" x14ac:dyDescent="0.2">
      <c r="B3464" s="20"/>
    </row>
    <row r="3465" spans="2:2" x14ac:dyDescent="0.2">
      <c r="B3465" s="20"/>
    </row>
    <row r="3466" spans="2:2" x14ac:dyDescent="0.2">
      <c r="B3466" s="20"/>
    </row>
    <row r="3467" spans="2:2" x14ac:dyDescent="0.2">
      <c r="B3467" s="20"/>
    </row>
    <row r="3468" spans="2:2" x14ac:dyDescent="0.2">
      <c r="B3468" s="20"/>
    </row>
    <row r="3469" spans="2:2" x14ac:dyDescent="0.2">
      <c r="B3469" s="20"/>
    </row>
    <row r="3470" spans="2:2" x14ac:dyDescent="0.2">
      <c r="B3470" s="20"/>
    </row>
    <row r="3471" spans="2:2" x14ac:dyDescent="0.2">
      <c r="B3471" s="20"/>
    </row>
    <row r="3472" spans="2:2" x14ac:dyDescent="0.2">
      <c r="B3472" s="20"/>
    </row>
    <row r="3473" spans="2:2" x14ac:dyDescent="0.2">
      <c r="B3473" s="20"/>
    </row>
    <row r="3474" spans="2:2" x14ac:dyDescent="0.2">
      <c r="B3474" s="20"/>
    </row>
    <row r="3475" spans="2:2" x14ac:dyDescent="0.2">
      <c r="B3475" s="20"/>
    </row>
    <row r="3476" spans="2:2" x14ac:dyDescent="0.2">
      <c r="B3476" s="20"/>
    </row>
    <row r="3477" spans="2:2" x14ac:dyDescent="0.2">
      <c r="B3477" s="20"/>
    </row>
    <row r="3478" spans="2:2" x14ac:dyDescent="0.2">
      <c r="B3478" s="20"/>
    </row>
    <row r="3479" spans="2:2" x14ac:dyDescent="0.2">
      <c r="B3479" s="20"/>
    </row>
    <row r="3480" spans="2:2" x14ac:dyDescent="0.2">
      <c r="B3480" s="20"/>
    </row>
    <row r="3481" spans="2:2" x14ac:dyDescent="0.2">
      <c r="B3481" s="20"/>
    </row>
    <row r="3482" spans="2:2" x14ac:dyDescent="0.2">
      <c r="B3482" s="20"/>
    </row>
    <row r="3483" spans="2:2" x14ac:dyDescent="0.2">
      <c r="B3483" s="20"/>
    </row>
    <row r="3484" spans="2:2" x14ac:dyDescent="0.2">
      <c r="B3484" s="20"/>
    </row>
    <row r="3485" spans="2:2" x14ac:dyDescent="0.2">
      <c r="B3485" s="20"/>
    </row>
    <row r="3486" spans="2:2" x14ac:dyDescent="0.2">
      <c r="B3486" s="20"/>
    </row>
    <row r="3487" spans="2:2" x14ac:dyDescent="0.2">
      <c r="B3487" s="20"/>
    </row>
    <row r="3488" spans="2:2" x14ac:dyDescent="0.2">
      <c r="B3488" s="20"/>
    </row>
    <row r="3489" spans="2:2" x14ac:dyDescent="0.2">
      <c r="B3489" s="20"/>
    </row>
    <row r="3490" spans="2:2" x14ac:dyDescent="0.2">
      <c r="B3490" s="20"/>
    </row>
    <row r="3491" spans="2:2" x14ac:dyDescent="0.2">
      <c r="B3491" s="20"/>
    </row>
    <row r="3492" spans="2:2" x14ac:dyDescent="0.2">
      <c r="B3492" s="20"/>
    </row>
    <row r="3493" spans="2:2" x14ac:dyDescent="0.2">
      <c r="B3493" s="20"/>
    </row>
    <row r="3494" spans="2:2" x14ac:dyDescent="0.2">
      <c r="B3494" s="20"/>
    </row>
    <row r="3495" spans="2:2" x14ac:dyDescent="0.2">
      <c r="B3495" s="20"/>
    </row>
    <row r="3496" spans="2:2" x14ac:dyDescent="0.2">
      <c r="B3496" s="20"/>
    </row>
    <row r="3497" spans="2:2" x14ac:dyDescent="0.2">
      <c r="B3497" s="20"/>
    </row>
    <row r="3498" spans="2:2" x14ac:dyDescent="0.2">
      <c r="B3498" s="20"/>
    </row>
    <row r="3499" spans="2:2" x14ac:dyDescent="0.2">
      <c r="B3499" s="20"/>
    </row>
    <row r="3500" spans="2:2" x14ac:dyDescent="0.2">
      <c r="B3500" s="20"/>
    </row>
    <row r="3501" spans="2:2" x14ac:dyDescent="0.2">
      <c r="B3501" s="20"/>
    </row>
    <row r="3502" spans="2:2" x14ac:dyDescent="0.2">
      <c r="B3502" s="20"/>
    </row>
    <row r="3503" spans="2:2" x14ac:dyDescent="0.2">
      <c r="B3503" s="20"/>
    </row>
    <row r="3504" spans="2:2" x14ac:dyDescent="0.2">
      <c r="B3504" s="20"/>
    </row>
    <row r="3505" spans="2:2" x14ac:dyDescent="0.2">
      <c r="B3505" s="20"/>
    </row>
    <row r="3506" spans="2:2" x14ac:dyDescent="0.2">
      <c r="B3506" s="20"/>
    </row>
    <row r="3507" spans="2:2" x14ac:dyDescent="0.2">
      <c r="B3507" s="20"/>
    </row>
    <row r="3508" spans="2:2" x14ac:dyDescent="0.2">
      <c r="B3508" s="20"/>
    </row>
    <row r="3509" spans="2:2" x14ac:dyDescent="0.2">
      <c r="B3509" s="20"/>
    </row>
    <row r="3510" spans="2:2" x14ac:dyDescent="0.2">
      <c r="B3510" s="20"/>
    </row>
    <row r="3511" spans="2:2" x14ac:dyDescent="0.2">
      <c r="B3511" s="20"/>
    </row>
    <row r="3512" spans="2:2" x14ac:dyDescent="0.2">
      <c r="B3512" s="20"/>
    </row>
    <row r="3513" spans="2:2" x14ac:dyDescent="0.2">
      <c r="B3513" s="20"/>
    </row>
    <row r="3514" spans="2:2" x14ac:dyDescent="0.2">
      <c r="B3514" s="20"/>
    </row>
    <row r="3515" spans="2:2" x14ac:dyDescent="0.2">
      <c r="B3515" s="20"/>
    </row>
    <row r="3516" spans="2:2" x14ac:dyDescent="0.2">
      <c r="B3516" s="20"/>
    </row>
    <row r="3517" spans="2:2" x14ac:dyDescent="0.2">
      <c r="B3517" s="20"/>
    </row>
    <row r="3518" spans="2:2" x14ac:dyDescent="0.2">
      <c r="B3518" s="20"/>
    </row>
    <row r="3519" spans="2:2" x14ac:dyDescent="0.2">
      <c r="B3519" s="20"/>
    </row>
    <row r="3520" spans="2:2" x14ac:dyDescent="0.2">
      <c r="B3520" s="20"/>
    </row>
    <row r="3521" spans="2:2" x14ac:dyDescent="0.2">
      <c r="B3521" s="20"/>
    </row>
    <row r="3522" spans="2:2" x14ac:dyDescent="0.2">
      <c r="B3522" s="20"/>
    </row>
    <row r="3523" spans="2:2" x14ac:dyDescent="0.2">
      <c r="B3523" s="20"/>
    </row>
    <row r="3524" spans="2:2" x14ac:dyDescent="0.2">
      <c r="B3524" s="20"/>
    </row>
    <row r="3525" spans="2:2" x14ac:dyDescent="0.2">
      <c r="B3525" s="20"/>
    </row>
    <row r="3526" spans="2:2" x14ac:dyDescent="0.2">
      <c r="B3526" s="20"/>
    </row>
    <row r="3527" spans="2:2" x14ac:dyDescent="0.2">
      <c r="B3527" s="20"/>
    </row>
    <row r="3528" spans="2:2" x14ac:dyDescent="0.2">
      <c r="B3528" s="20"/>
    </row>
    <row r="3529" spans="2:2" x14ac:dyDescent="0.2">
      <c r="B3529" s="20"/>
    </row>
    <row r="3530" spans="2:2" x14ac:dyDescent="0.2">
      <c r="B3530" s="20"/>
    </row>
    <row r="3531" spans="2:2" x14ac:dyDescent="0.2">
      <c r="B3531" s="20"/>
    </row>
    <row r="3532" spans="2:2" x14ac:dyDescent="0.2">
      <c r="B3532" s="20"/>
    </row>
    <row r="3533" spans="2:2" x14ac:dyDescent="0.2">
      <c r="B3533" s="20"/>
    </row>
    <row r="3534" spans="2:2" x14ac:dyDescent="0.2">
      <c r="B3534" s="20"/>
    </row>
    <row r="3535" spans="2:2" x14ac:dyDescent="0.2">
      <c r="B3535" s="20"/>
    </row>
    <row r="3536" spans="2:2" x14ac:dyDescent="0.2">
      <c r="B3536" s="20"/>
    </row>
    <row r="3537" spans="2:2" x14ac:dyDescent="0.2">
      <c r="B3537" s="20"/>
    </row>
    <row r="3538" spans="2:2" x14ac:dyDescent="0.2">
      <c r="B3538" s="20"/>
    </row>
    <row r="3539" spans="2:2" x14ac:dyDescent="0.2">
      <c r="B3539" s="20"/>
    </row>
    <row r="3540" spans="2:2" x14ac:dyDescent="0.2">
      <c r="B3540" s="20"/>
    </row>
    <row r="3541" spans="2:2" x14ac:dyDescent="0.2">
      <c r="B3541" s="20"/>
    </row>
    <row r="3542" spans="2:2" x14ac:dyDescent="0.2">
      <c r="B3542" s="20"/>
    </row>
    <row r="3543" spans="2:2" x14ac:dyDescent="0.2">
      <c r="B3543" s="20"/>
    </row>
    <row r="3544" spans="2:2" x14ac:dyDescent="0.2">
      <c r="B3544" s="20"/>
    </row>
    <row r="3545" spans="2:2" x14ac:dyDescent="0.2">
      <c r="B3545" s="20"/>
    </row>
    <row r="3546" spans="2:2" x14ac:dyDescent="0.2">
      <c r="B3546" s="20"/>
    </row>
    <row r="3547" spans="2:2" x14ac:dyDescent="0.2">
      <c r="B3547" s="20"/>
    </row>
    <row r="3548" spans="2:2" x14ac:dyDescent="0.2">
      <c r="B3548" s="20"/>
    </row>
    <row r="3549" spans="2:2" x14ac:dyDescent="0.2">
      <c r="B3549" s="20"/>
    </row>
    <row r="3550" spans="2:2" x14ac:dyDescent="0.2">
      <c r="B3550" s="20"/>
    </row>
    <row r="3551" spans="2:2" x14ac:dyDescent="0.2">
      <c r="B3551" s="20"/>
    </row>
    <row r="3552" spans="2:2" x14ac:dyDescent="0.2">
      <c r="B3552" s="20"/>
    </row>
    <row r="3553" spans="2:2" x14ac:dyDescent="0.2">
      <c r="B3553" s="20"/>
    </row>
    <row r="3554" spans="2:2" x14ac:dyDescent="0.2">
      <c r="B3554" s="20"/>
    </row>
    <row r="3555" spans="2:2" x14ac:dyDescent="0.2">
      <c r="B3555" s="20"/>
    </row>
    <row r="3556" spans="2:2" x14ac:dyDescent="0.2">
      <c r="B3556" s="20"/>
    </row>
    <row r="3557" spans="2:2" x14ac:dyDescent="0.2">
      <c r="B3557" s="20"/>
    </row>
    <row r="3558" spans="2:2" x14ac:dyDescent="0.2">
      <c r="B3558" s="20"/>
    </row>
    <row r="3559" spans="2:2" x14ac:dyDescent="0.2">
      <c r="B3559" s="20"/>
    </row>
    <row r="3560" spans="2:2" x14ac:dyDescent="0.2">
      <c r="B3560" s="20"/>
    </row>
    <row r="3561" spans="2:2" x14ac:dyDescent="0.2">
      <c r="B3561" s="20"/>
    </row>
    <row r="3562" spans="2:2" x14ac:dyDescent="0.2">
      <c r="B3562" s="20"/>
    </row>
    <row r="3563" spans="2:2" x14ac:dyDescent="0.2">
      <c r="B3563" s="20"/>
    </row>
    <row r="3564" spans="2:2" x14ac:dyDescent="0.2">
      <c r="B3564" s="20"/>
    </row>
    <row r="3565" spans="2:2" x14ac:dyDescent="0.2">
      <c r="B3565" s="20"/>
    </row>
    <row r="3566" spans="2:2" x14ac:dyDescent="0.2">
      <c r="B3566" s="20"/>
    </row>
    <row r="3567" spans="2:2" x14ac:dyDescent="0.2">
      <c r="B3567" s="20"/>
    </row>
    <row r="3568" spans="2:2" x14ac:dyDescent="0.2">
      <c r="B3568" s="20"/>
    </row>
    <row r="3569" spans="2:2" x14ac:dyDescent="0.2">
      <c r="B3569" s="20"/>
    </row>
    <row r="3570" spans="2:2" x14ac:dyDescent="0.2">
      <c r="B3570" s="20"/>
    </row>
    <row r="3571" spans="2:2" x14ac:dyDescent="0.2">
      <c r="B3571" s="20"/>
    </row>
    <row r="3572" spans="2:2" x14ac:dyDescent="0.2">
      <c r="B3572" s="20"/>
    </row>
    <row r="3573" spans="2:2" x14ac:dyDescent="0.2">
      <c r="B3573" s="20"/>
    </row>
    <row r="3574" spans="2:2" x14ac:dyDescent="0.2">
      <c r="B3574" s="20"/>
    </row>
    <row r="3575" spans="2:2" x14ac:dyDescent="0.2">
      <c r="B3575" s="20"/>
    </row>
    <row r="3576" spans="2:2" x14ac:dyDescent="0.2">
      <c r="B3576" s="20"/>
    </row>
    <row r="3577" spans="2:2" x14ac:dyDescent="0.2">
      <c r="B3577" s="20"/>
    </row>
    <row r="3578" spans="2:2" x14ac:dyDescent="0.2">
      <c r="B3578" s="20"/>
    </row>
    <row r="3579" spans="2:2" x14ac:dyDescent="0.2">
      <c r="B3579" s="20"/>
    </row>
    <row r="3580" spans="2:2" x14ac:dyDescent="0.2">
      <c r="B3580" s="20"/>
    </row>
    <row r="3581" spans="2:2" x14ac:dyDescent="0.2">
      <c r="B3581" s="20"/>
    </row>
    <row r="3582" spans="2:2" x14ac:dyDescent="0.2">
      <c r="B3582" s="20"/>
    </row>
    <row r="3583" spans="2:2" x14ac:dyDescent="0.2">
      <c r="B3583" s="20"/>
    </row>
    <row r="3584" spans="2:2" x14ac:dyDescent="0.2">
      <c r="B3584" s="20"/>
    </row>
    <row r="3585" spans="2:2" x14ac:dyDescent="0.2">
      <c r="B3585" s="20"/>
    </row>
    <row r="3586" spans="2:2" x14ac:dyDescent="0.2">
      <c r="B3586" s="20"/>
    </row>
    <row r="3587" spans="2:2" x14ac:dyDescent="0.2">
      <c r="B3587" s="20"/>
    </row>
    <row r="3588" spans="2:2" x14ac:dyDescent="0.2">
      <c r="B3588" s="20"/>
    </row>
    <row r="3589" spans="2:2" x14ac:dyDescent="0.2">
      <c r="B3589" s="20"/>
    </row>
    <row r="3590" spans="2:2" x14ac:dyDescent="0.2">
      <c r="B3590" s="20"/>
    </row>
    <row r="3591" spans="2:2" x14ac:dyDescent="0.2">
      <c r="B3591" s="20"/>
    </row>
    <row r="3592" spans="2:2" x14ac:dyDescent="0.2">
      <c r="B3592" s="20"/>
    </row>
    <row r="3593" spans="2:2" x14ac:dyDescent="0.2">
      <c r="B3593" s="20"/>
    </row>
    <row r="3594" spans="2:2" x14ac:dyDescent="0.2">
      <c r="B3594" s="20"/>
    </row>
    <row r="3595" spans="2:2" x14ac:dyDescent="0.2">
      <c r="B3595" s="20"/>
    </row>
    <row r="3596" spans="2:2" x14ac:dyDescent="0.2">
      <c r="B3596" s="20"/>
    </row>
    <row r="3597" spans="2:2" x14ac:dyDescent="0.2">
      <c r="B3597" s="20"/>
    </row>
    <row r="3598" spans="2:2" x14ac:dyDescent="0.2">
      <c r="B3598" s="20"/>
    </row>
    <row r="3599" spans="2:2" x14ac:dyDescent="0.2">
      <c r="B3599" s="20"/>
    </row>
    <row r="3600" spans="2:2" x14ac:dyDescent="0.2">
      <c r="B3600" s="20"/>
    </row>
    <row r="3601" spans="2:2" x14ac:dyDescent="0.2">
      <c r="B3601" s="20"/>
    </row>
    <row r="3602" spans="2:2" x14ac:dyDescent="0.2">
      <c r="B3602" s="20"/>
    </row>
    <row r="3603" spans="2:2" x14ac:dyDescent="0.2">
      <c r="B3603" s="20"/>
    </row>
    <row r="3604" spans="2:2" x14ac:dyDescent="0.2">
      <c r="B3604" s="20"/>
    </row>
    <row r="3605" spans="2:2" x14ac:dyDescent="0.2">
      <c r="B3605" s="20"/>
    </row>
    <row r="3606" spans="2:2" x14ac:dyDescent="0.2">
      <c r="B3606" s="20"/>
    </row>
    <row r="3607" spans="2:2" x14ac:dyDescent="0.2">
      <c r="B3607" s="20"/>
    </row>
    <row r="3608" spans="2:2" x14ac:dyDescent="0.2">
      <c r="B3608" s="20"/>
    </row>
    <row r="3609" spans="2:2" x14ac:dyDescent="0.2">
      <c r="B3609" s="20"/>
    </row>
    <row r="3610" spans="2:2" x14ac:dyDescent="0.2">
      <c r="B3610" s="20"/>
    </row>
    <row r="3611" spans="2:2" x14ac:dyDescent="0.2">
      <c r="B3611" s="20"/>
    </row>
    <row r="3612" spans="2:2" x14ac:dyDescent="0.2">
      <c r="B3612" s="20"/>
    </row>
    <row r="3613" spans="2:2" x14ac:dyDescent="0.2">
      <c r="B3613" s="20"/>
    </row>
    <row r="3614" spans="2:2" x14ac:dyDescent="0.2">
      <c r="B3614" s="20"/>
    </row>
    <row r="3615" spans="2:2" x14ac:dyDescent="0.2">
      <c r="B3615" s="20"/>
    </row>
    <row r="3616" spans="2:2" x14ac:dyDescent="0.2">
      <c r="B3616" s="20"/>
    </row>
    <row r="3617" spans="2:2" x14ac:dyDescent="0.2">
      <c r="B3617" s="20"/>
    </row>
    <row r="3618" spans="2:2" x14ac:dyDescent="0.2">
      <c r="B3618" s="20"/>
    </row>
    <row r="3619" spans="2:2" x14ac:dyDescent="0.2">
      <c r="B3619" s="20"/>
    </row>
    <row r="3620" spans="2:2" x14ac:dyDescent="0.2">
      <c r="B3620" s="20"/>
    </row>
    <row r="3621" spans="2:2" x14ac:dyDescent="0.2">
      <c r="B3621" s="20"/>
    </row>
    <row r="3622" spans="2:2" x14ac:dyDescent="0.2">
      <c r="B3622" s="20"/>
    </row>
    <row r="3623" spans="2:2" x14ac:dyDescent="0.2">
      <c r="B3623" s="20"/>
    </row>
    <row r="3624" spans="2:2" x14ac:dyDescent="0.2">
      <c r="B3624" s="20"/>
    </row>
    <row r="3625" spans="2:2" x14ac:dyDescent="0.2">
      <c r="B3625" s="20"/>
    </row>
    <row r="3626" spans="2:2" x14ac:dyDescent="0.2">
      <c r="B3626" s="20"/>
    </row>
    <row r="3627" spans="2:2" x14ac:dyDescent="0.2">
      <c r="B3627" s="20"/>
    </row>
    <row r="3628" spans="2:2" x14ac:dyDescent="0.2">
      <c r="B3628" s="20"/>
    </row>
    <row r="3629" spans="2:2" x14ac:dyDescent="0.2">
      <c r="B3629" s="20"/>
    </row>
    <row r="3630" spans="2:2" x14ac:dyDescent="0.2">
      <c r="B3630" s="20"/>
    </row>
    <row r="3631" spans="2:2" x14ac:dyDescent="0.2">
      <c r="B3631" s="20"/>
    </row>
    <row r="3632" spans="2:2" x14ac:dyDescent="0.2">
      <c r="B3632" s="20"/>
    </row>
    <row r="3633" spans="2:2" x14ac:dyDescent="0.2">
      <c r="B3633" s="20"/>
    </row>
    <row r="3634" spans="2:2" x14ac:dyDescent="0.2">
      <c r="B3634" s="20"/>
    </row>
    <row r="3635" spans="2:2" x14ac:dyDescent="0.2">
      <c r="B3635" s="20"/>
    </row>
    <row r="3636" spans="2:2" x14ac:dyDescent="0.2">
      <c r="B3636" s="20"/>
    </row>
    <row r="3637" spans="2:2" x14ac:dyDescent="0.2">
      <c r="B3637" s="20"/>
    </row>
    <row r="3638" spans="2:2" x14ac:dyDescent="0.2">
      <c r="B3638" s="20"/>
    </row>
    <row r="3639" spans="2:2" x14ac:dyDescent="0.2">
      <c r="B3639" s="20"/>
    </row>
    <row r="3640" spans="2:2" x14ac:dyDescent="0.2">
      <c r="B3640" s="20"/>
    </row>
    <row r="3641" spans="2:2" x14ac:dyDescent="0.2">
      <c r="B3641" s="20"/>
    </row>
    <row r="3642" spans="2:2" x14ac:dyDescent="0.2">
      <c r="B3642" s="20"/>
    </row>
    <row r="3643" spans="2:2" x14ac:dyDescent="0.2">
      <c r="B3643" s="20"/>
    </row>
    <row r="3644" spans="2:2" x14ac:dyDescent="0.2">
      <c r="B3644" s="20"/>
    </row>
    <row r="3645" spans="2:2" x14ac:dyDescent="0.2">
      <c r="B3645" s="20"/>
    </row>
    <row r="3646" spans="2:2" x14ac:dyDescent="0.2">
      <c r="B3646" s="20"/>
    </row>
    <row r="3647" spans="2:2" x14ac:dyDescent="0.2">
      <c r="B3647" s="20"/>
    </row>
    <row r="3648" spans="2:2" x14ac:dyDescent="0.2">
      <c r="B3648" s="20"/>
    </row>
    <row r="3649" spans="2:2" x14ac:dyDescent="0.2">
      <c r="B3649" s="20"/>
    </row>
    <row r="3650" spans="2:2" x14ac:dyDescent="0.2">
      <c r="B3650" s="20"/>
    </row>
    <row r="3651" spans="2:2" x14ac:dyDescent="0.2">
      <c r="B3651" s="20"/>
    </row>
    <row r="3652" spans="2:2" x14ac:dyDescent="0.2">
      <c r="B3652" s="20"/>
    </row>
    <row r="3653" spans="2:2" x14ac:dyDescent="0.2">
      <c r="B3653" s="20"/>
    </row>
    <row r="3654" spans="2:2" x14ac:dyDescent="0.2">
      <c r="B3654" s="20"/>
    </row>
    <row r="3655" spans="2:2" x14ac:dyDescent="0.2">
      <c r="B3655" s="20"/>
    </row>
    <row r="3656" spans="2:2" x14ac:dyDescent="0.2">
      <c r="B3656" s="20"/>
    </row>
    <row r="3657" spans="2:2" x14ac:dyDescent="0.2">
      <c r="B3657" s="20"/>
    </row>
    <row r="3658" spans="2:2" x14ac:dyDescent="0.2">
      <c r="B3658" s="20"/>
    </row>
    <row r="3659" spans="2:2" x14ac:dyDescent="0.2">
      <c r="B3659" s="20"/>
    </row>
    <row r="3660" spans="2:2" x14ac:dyDescent="0.2">
      <c r="B3660" s="20"/>
    </row>
    <row r="3661" spans="2:2" x14ac:dyDescent="0.2">
      <c r="B3661" s="20"/>
    </row>
    <row r="3662" spans="2:2" x14ac:dyDescent="0.2">
      <c r="B3662" s="20"/>
    </row>
    <row r="3663" spans="2:2" x14ac:dyDescent="0.2">
      <c r="B3663" s="20"/>
    </row>
    <row r="3664" spans="2:2" x14ac:dyDescent="0.2">
      <c r="B3664" s="20"/>
    </row>
    <row r="3665" spans="2:2" x14ac:dyDescent="0.2">
      <c r="B3665" s="20"/>
    </row>
    <row r="3666" spans="2:2" x14ac:dyDescent="0.2">
      <c r="B3666" s="20"/>
    </row>
    <row r="3667" spans="2:2" x14ac:dyDescent="0.2">
      <c r="B3667" s="20"/>
    </row>
    <row r="3668" spans="2:2" x14ac:dyDescent="0.2">
      <c r="B3668" s="20"/>
    </row>
    <row r="3669" spans="2:2" x14ac:dyDescent="0.2">
      <c r="B3669" s="20"/>
    </row>
    <row r="3670" spans="2:2" x14ac:dyDescent="0.2">
      <c r="B3670" s="20"/>
    </row>
    <row r="3671" spans="2:2" x14ac:dyDescent="0.2">
      <c r="B3671" s="20"/>
    </row>
    <row r="3672" spans="2:2" x14ac:dyDescent="0.2">
      <c r="B3672" s="20"/>
    </row>
    <row r="3673" spans="2:2" x14ac:dyDescent="0.2">
      <c r="B3673" s="20"/>
    </row>
    <row r="3674" spans="2:2" x14ac:dyDescent="0.2">
      <c r="B3674" s="20"/>
    </row>
    <row r="3675" spans="2:2" x14ac:dyDescent="0.2">
      <c r="B3675" s="20"/>
    </row>
    <row r="3676" spans="2:2" x14ac:dyDescent="0.2">
      <c r="B3676" s="20"/>
    </row>
    <row r="3677" spans="2:2" x14ac:dyDescent="0.2">
      <c r="B3677" s="20"/>
    </row>
    <row r="3678" spans="2:2" x14ac:dyDescent="0.2">
      <c r="B3678" s="20"/>
    </row>
    <row r="3679" spans="2:2" x14ac:dyDescent="0.2">
      <c r="B3679" s="20"/>
    </row>
    <row r="3680" spans="2:2" x14ac:dyDescent="0.2">
      <c r="B3680" s="20"/>
    </row>
    <row r="3681" spans="2:2" x14ac:dyDescent="0.2">
      <c r="B3681" s="20"/>
    </row>
    <row r="3682" spans="2:2" x14ac:dyDescent="0.2">
      <c r="B3682" s="20"/>
    </row>
    <row r="3683" spans="2:2" x14ac:dyDescent="0.2">
      <c r="B3683" s="20"/>
    </row>
    <row r="3684" spans="2:2" x14ac:dyDescent="0.2">
      <c r="B3684" s="20"/>
    </row>
    <row r="3685" spans="2:2" x14ac:dyDescent="0.2">
      <c r="B3685" s="20"/>
    </row>
    <row r="3686" spans="2:2" x14ac:dyDescent="0.2">
      <c r="B3686" s="20"/>
    </row>
    <row r="3687" spans="2:2" x14ac:dyDescent="0.2">
      <c r="B3687" s="20"/>
    </row>
    <row r="3688" spans="2:2" x14ac:dyDescent="0.2">
      <c r="B3688" s="20"/>
    </row>
    <row r="3689" spans="2:2" x14ac:dyDescent="0.2">
      <c r="B3689" s="20"/>
    </row>
    <row r="3690" spans="2:2" x14ac:dyDescent="0.2">
      <c r="B3690" s="20"/>
    </row>
    <row r="3691" spans="2:2" x14ac:dyDescent="0.2">
      <c r="B3691" s="20"/>
    </row>
    <row r="3692" spans="2:2" x14ac:dyDescent="0.2">
      <c r="B3692" s="20"/>
    </row>
    <row r="3693" spans="2:2" x14ac:dyDescent="0.2">
      <c r="B3693" s="20"/>
    </row>
    <row r="3694" spans="2:2" x14ac:dyDescent="0.2">
      <c r="B3694" s="20"/>
    </row>
    <row r="3695" spans="2:2" x14ac:dyDescent="0.2">
      <c r="B3695" s="20"/>
    </row>
    <row r="3696" spans="2:2" x14ac:dyDescent="0.2">
      <c r="B3696" s="20"/>
    </row>
    <row r="3697" spans="2:2" x14ac:dyDescent="0.2">
      <c r="B3697" s="20"/>
    </row>
    <row r="3698" spans="2:2" x14ac:dyDescent="0.2">
      <c r="B3698" s="20"/>
    </row>
    <row r="3699" spans="2:2" x14ac:dyDescent="0.2">
      <c r="B3699" s="20"/>
    </row>
    <row r="3700" spans="2:2" x14ac:dyDescent="0.2">
      <c r="B3700" s="20"/>
    </row>
    <row r="3701" spans="2:2" x14ac:dyDescent="0.2">
      <c r="B3701" s="20"/>
    </row>
    <row r="3702" spans="2:2" x14ac:dyDescent="0.2">
      <c r="B3702" s="20"/>
    </row>
    <row r="3703" spans="2:2" x14ac:dyDescent="0.2">
      <c r="B3703" s="20"/>
    </row>
    <row r="3704" spans="2:2" x14ac:dyDescent="0.2">
      <c r="B3704" s="20"/>
    </row>
    <row r="3705" spans="2:2" x14ac:dyDescent="0.2">
      <c r="B3705" s="20"/>
    </row>
    <row r="3706" spans="2:2" x14ac:dyDescent="0.2">
      <c r="B3706" s="20"/>
    </row>
    <row r="3707" spans="2:2" x14ac:dyDescent="0.2">
      <c r="B3707" s="20"/>
    </row>
    <row r="3708" spans="2:2" x14ac:dyDescent="0.2">
      <c r="B3708" s="20"/>
    </row>
    <row r="3709" spans="2:2" x14ac:dyDescent="0.2">
      <c r="B3709" s="20"/>
    </row>
    <row r="3710" spans="2:2" x14ac:dyDescent="0.2">
      <c r="B3710" s="20"/>
    </row>
    <row r="3711" spans="2:2" x14ac:dyDescent="0.2">
      <c r="B3711" s="20"/>
    </row>
    <row r="3712" spans="2:2" x14ac:dyDescent="0.2">
      <c r="B3712" s="20"/>
    </row>
    <row r="3713" spans="2:2" x14ac:dyDescent="0.2">
      <c r="B3713" s="20"/>
    </row>
    <row r="3714" spans="2:2" x14ac:dyDescent="0.2">
      <c r="B3714" s="20"/>
    </row>
    <row r="3715" spans="2:2" x14ac:dyDescent="0.2">
      <c r="B3715" s="20"/>
    </row>
    <row r="3716" spans="2:2" x14ac:dyDescent="0.2">
      <c r="B3716" s="20"/>
    </row>
    <row r="3717" spans="2:2" x14ac:dyDescent="0.2">
      <c r="B3717" s="20"/>
    </row>
    <row r="3718" spans="2:2" x14ac:dyDescent="0.2">
      <c r="B3718" s="20"/>
    </row>
    <row r="3719" spans="2:2" x14ac:dyDescent="0.2">
      <c r="B3719" s="20"/>
    </row>
    <row r="3720" spans="2:2" x14ac:dyDescent="0.2">
      <c r="B3720" s="20"/>
    </row>
    <row r="3721" spans="2:2" x14ac:dyDescent="0.2">
      <c r="B3721" s="20"/>
    </row>
    <row r="3722" spans="2:2" x14ac:dyDescent="0.2">
      <c r="B3722" s="20"/>
    </row>
    <row r="3723" spans="2:2" x14ac:dyDescent="0.2">
      <c r="B3723" s="20"/>
    </row>
    <row r="3724" spans="2:2" x14ac:dyDescent="0.2">
      <c r="B3724" s="20"/>
    </row>
    <row r="3725" spans="2:2" x14ac:dyDescent="0.2">
      <c r="B3725" s="20"/>
    </row>
    <row r="3726" spans="2:2" x14ac:dyDescent="0.2">
      <c r="B3726" s="20"/>
    </row>
    <row r="3727" spans="2:2" x14ac:dyDescent="0.2">
      <c r="B3727" s="20"/>
    </row>
    <row r="3728" spans="2:2" x14ac:dyDescent="0.2">
      <c r="B3728" s="20"/>
    </row>
    <row r="3729" spans="2:2" x14ac:dyDescent="0.2">
      <c r="B3729" s="20"/>
    </row>
    <row r="3730" spans="2:2" x14ac:dyDescent="0.2">
      <c r="B3730" s="20"/>
    </row>
    <row r="3731" spans="2:2" x14ac:dyDescent="0.2">
      <c r="B3731" s="20"/>
    </row>
    <row r="3732" spans="2:2" x14ac:dyDescent="0.2">
      <c r="B3732" s="20"/>
    </row>
    <row r="3733" spans="2:2" x14ac:dyDescent="0.2">
      <c r="B3733" s="20"/>
    </row>
    <row r="3734" spans="2:2" x14ac:dyDescent="0.2">
      <c r="B3734" s="20"/>
    </row>
    <row r="3735" spans="2:2" x14ac:dyDescent="0.2">
      <c r="B3735" s="20"/>
    </row>
    <row r="3736" spans="2:2" x14ac:dyDescent="0.2">
      <c r="B3736" s="20"/>
    </row>
    <row r="3737" spans="2:2" x14ac:dyDescent="0.2">
      <c r="B3737" s="20"/>
    </row>
    <row r="3738" spans="2:2" x14ac:dyDescent="0.2">
      <c r="B3738" s="20"/>
    </row>
    <row r="3739" spans="2:2" x14ac:dyDescent="0.2">
      <c r="B3739" s="20"/>
    </row>
    <row r="3740" spans="2:2" x14ac:dyDescent="0.2">
      <c r="B3740" s="20"/>
    </row>
    <row r="3741" spans="2:2" x14ac:dyDescent="0.2">
      <c r="B3741" s="20"/>
    </row>
    <row r="3742" spans="2:2" x14ac:dyDescent="0.2">
      <c r="B3742" s="20"/>
    </row>
    <row r="3743" spans="2:2" x14ac:dyDescent="0.2">
      <c r="B3743" s="20"/>
    </row>
    <row r="3744" spans="2:2" x14ac:dyDescent="0.2">
      <c r="B3744" s="20"/>
    </row>
    <row r="3745" spans="2:2" x14ac:dyDescent="0.2">
      <c r="B3745" s="20"/>
    </row>
    <row r="3746" spans="2:2" x14ac:dyDescent="0.2">
      <c r="B3746" s="20"/>
    </row>
    <row r="3747" spans="2:2" x14ac:dyDescent="0.2">
      <c r="B3747" s="20"/>
    </row>
    <row r="3748" spans="2:2" x14ac:dyDescent="0.2">
      <c r="B3748" s="20"/>
    </row>
    <row r="3749" spans="2:2" x14ac:dyDescent="0.2">
      <c r="B3749" s="20"/>
    </row>
    <row r="3750" spans="2:2" x14ac:dyDescent="0.2">
      <c r="B3750" s="20"/>
    </row>
    <row r="3751" spans="2:2" x14ac:dyDescent="0.2">
      <c r="B3751" s="20"/>
    </row>
    <row r="3752" spans="2:2" x14ac:dyDescent="0.2">
      <c r="B3752" s="20"/>
    </row>
    <row r="3753" spans="2:2" x14ac:dyDescent="0.2">
      <c r="B3753" s="20"/>
    </row>
    <row r="3754" spans="2:2" x14ac:dyDescent="0.2">
      <c r="B3754" s="20"/>
    </row>
    <row r="3755" spans="2:2" x14ac:dyDescent="0.2">
      <c r="B3755" s="20"/>
    </row>
    <row r="3756" spans="2:2" x14ac:dyDescent="0.2">
      <c r="B3756" s="20"/>
    </row>
    <row r="3757" spans="2:2" x14ac:dyDescent="0.2">
      <c r="B3757" s="20"/>
    </row>
    <row r="3758" spans="2:2" x14ac:dyDescent="0.2">
      <c r="B3758" s="20"/>
    </row>
    <row r="3759" spans="2:2" x14ac:dyDescent="0.2">
      <c r="B3759" s="20"/>
    </row>
    <row r="3760" spans="2:2" x14ac:dyDescent="0.2">
      <c r="B3760" s="20"/>
    </row>
    <row r="3761" spans="2:2" x14ac:dyDescent="0.2">
      <c r="B3761" s="20"/>
    </row>
    <row r="3762" spans="2:2" x14ac:dyDescent="0.2">
      <c r="B3762" s="20"/>
    </row>
    <row r="3763" spans="2:2" x14ac:dyDescent="0.2">
      <c r="B3763" s="20"/>
    </row>
    <row r="3764" spans="2:2" x14ac:dyDescent="0.2">
      <c r="B3764" s="20"/>
    </row>
    <row r="3765" spans="2:2" x14ac:dyDescent="0.2">
      <c r="B3765" s="20"/>
    </row>
    <row r="3766" spans="2:2" x14ac:dyDescent="0.2">
      <c r="B3766" s="20"/>
    </row>
    <row r="3767" spans="2:2" x14ac:dyDescent="0.2">
      <c r="B3767" s="20"/>
    </row>
    <row r="3768" spans="2:2" x14ac:dyDescent="0.2">
      <c r="B3768" s="20"/>
    </row>
    <row r="3769" spans="2:2" x14ac:dyDescent="0.2">
      <c r="B3769" s="20"/>
    </row>
    <row r="3770" spans="2:2" x14ac:dyDescent="0.2">
      <c r="B3770" s="20"/>
    </row>
    <row r="3771" spans="2:2" x14ac:dyDescent="0.2">
      <c r="B3771" s="20"/>
    </row>
    <row r="3772" spans="2:2" x14ac:dyDescent="0.2">
      <c r="B3772" s="20"/>
    </row>
    <row r="3773" spans="2:2" x14ac:dyDescent="0.2">
      <c r="B3773" s="20"/>
    </row>
    <row r="3774" spans="2:2" x14ac:dyDescent="0.2">
      <c r="B3774" s="20"/>
    </row>
    <row r="3775" spans="2:2" x14ac:dyDescent="0.2">
      <c r="B3775" s="20"/>
    </row>
    <row r="3776" spans="2:2" x14ac:dyDescent="0.2">
      <c r="B3776" s="20"/>
    </row>
    <row r="3777" spans="2:2" x14ac:dyDescent="0.2">
      <c r="B3777" s="20"/>
    </row>
    <row r="3778" spans="2:2" x14ac:dyDescent="0.2">
      <c r="B3778" s="20"/>
    </row>
    <row r="3779" spans="2:2" x14ac:dyDescent="0.2">
      <c r="B3779" s="20"/>
    </row>
    <row r="3780" spans="2:2" x14ac:dyDescent="0.2">
      <c r="B3780" s="20"/>
    </row>
    <row r="3781" spans="2:2" x14ac:dyDescent="0.2">
      <c r="B3781" s="20"/>
    </row>
    <row r="3782" spans="2:2" x14ac:dyDescent="0.2">
      <c r="B3782" s="20"/>
    </row>
    <row r="3783" spans="2:2" x14ac:dyDescent="0.2">
      <c r="B3783" s="20"/>
    </row>
    <row r="3784" spans="2:2" x14ac:dyDescent="0.2">
      <c r="B3784" s="20"/>
    </row>
    <row r="3785" spans="2:2" x14ac:dyDescent="0.2">
      <c r="B3785" s="20"/>
    </row>
    <row r="3786" spans="2:2" x14ac:dyDescent="0.2">
      <c r="B3786" s="20"/>
    </row>
    <row r="3787" spans="2:2" x14ac:dyDescent="0.2">
      <c r="B3787" s="20"/>
    </row>
    <row r="3788" spans="2:2" x14ac:dyDescent="0.2">
      <c r="B3788" s="20"/>
    </row>
    <row r="3789" spans="2:2" x14ac:dyDescent="0.2">
      <c r="B3789" s="20"/>
    </row>
    <row r="3790" spans="2:2" x14ac:dyDescent="0.2">
      <c r="B3790" s="20"/>
    </row>
    <row r="3791" spans="2:2" x14ac:dyDescent="0.2">
      <c r="B3791" s="20"/>
    </row>
    <row r="3792" spans="2:2" x14ac:dyDescent="0.2">
      <c r="B3792" s="20"/>
    </row>
    <row r="3793" spans="2:2" x14ac:dyDescent="0.2">
      <c r="B3793" s="20"/>
    </row>
    <row r="3794" spans="2:2" x14ac:dyDescent="0.2">
      <c r="B3794" s="20"/>
    </row>
    <row r="3795" spans="2:2" x14ac:dyDescent="0.2">
      <c r="B3795" s="20"/>
    </row>
    <row r="3796" spans="2:2" x14ac:dyDescent="0.2">
      <c r="B3796" s="20"/>
    </row>
    <row r="3797" spans="2:2" x14ac:dyDescent="0.2">
      <c r="B3797" s="20"/>
    </row>
    <row r="3798" spans="2:2" x14ac:dyDescent="0.2">
      <c r="B3798" s="20"/>
    </row>
    <row r="3799" spans="2:2" x14ac:dyDescent="0.2">
      <c r="B3799" s="20"/>
    </row>
    <row r="3800" spans="2:2" x14ac:dyDescent="0.2">
      <c r="B3800" s="20"/>
    </row>
    <row r="3801" spans="2:2" x14ac:dyDescent="0.2">
      <c r="B3801" s="20"/>
    </row>
    <row r="3802" spans="2:2" x14ac:dyDescent="0.2">
      <c r="B3802" s="20"/>
    </row>
    <row r="3803" spans="2:2" x14ac:dyDescent="0.2">
      <c r="B3803" s="20"/>
    </row>
    <row r="3804" spans="2:2" x14ac:dyDescent="0.2">
      <c r="B3804" s="20"/>
    </row>
    <row r="3805" spans="2:2" x14ac:dyDescent="0.2">
      <c r="B3805" s="20"/>
    </row>
    <row r="3806" spans="2:2" x14ac:dyDescent="0.2">
      <c r="B3806" s="20"/>
    </row>
    <row r="3807" spans="2:2" x14ac:dyDescent="0.2">
      <c r="B3807" s="20"/>
    </row>
    <row r="3808" spans="2:2" x14ac:dyDescent="0.2">
      <c r="B3808" s="20"/>
    </row>
    <row r="3809" spans="2:2" x14ac:dyDescent="0.2">
      <c r="B3809" s="20"/>
    </row>
    <row r="3810" spans="2:2" x14ac:dyDescent="0.2">
      <c r="B3810" s="20"/>
    </row>
    <row r="3811" spans="2:2" x14ac:dyDescent="0.2">
      <c r="B3811" s="20"/>
    </row>
    <row r="3812" spans="2:2" x14ac:dyDescent="0.2">
      <c r="B3812" s="20"/>
    </row>
    <row r="3813" spans="2:2" x14ac:dyDescent="0.2">
      <c r="B3813" s="20"/>
    </row>
    <row r="3814" spans="2:2" x14ac:dyDescent="0.2">
      <c r="B3814" s="20"/>
    </row>
    <row r="3815" spans="2:2" x14ac:dyDescent="0.2">
      <c r="B3815" s="20"/>
    </row>
    <row r="3816" spans="2:2" x14ac:dyDescent="0.2">
      <c r="B3816" s="20"/>
    </row>
    <row r="3817" spans="2:2" x14ac:dyDescent="0.2">
      <c r="B3817" s="20"/>
    </row>
    <row r="3818" spans="2:2" x14ac:dyDescent="0.2">
      <c r="B3818" s="20"/>
    </row>
    <row r="3819" spans="2:2" x14ac:dyDescent="0.2">
      <c r="B3819" s="20"/>
    </row>
    <row r="3820" spans="2:2" x14ac:dyDescent="0.2">
      <c r="B3820" s="20"/>
    </row>
    <row r="3821" spans="2:2" x14ac:dyDescent="0.2">
      <c r="B3821" s="20"/>
    </row>
    <row r="3822" spans="2:2" x14ac:dyDescent="0.2">
      <c r="B3822" s="20"/>
    </row>
    <row r="3823" spans="2:2" x14ac:dyDescent="0.2">
      <c r="B3823" s="20"/>
    </row>
    <row r="3824" spans="2:2" x14ac:dyDescent="0.2">
      <c r="B3824" s="20"/>
    </row>
    <row r="3825" spans="2:2" x14ac:dyDescent="0.2">
      <c r="B3825" s="20"/>
    </row>
    <row r="3826" spans="2:2" x14ac:dyDescent="0.2">
      <c r="B3826" s="20"/>
    </row>
    <row r="3827" spans="2:2" x14ac:dyDescent="0.2">
      <c r="B3827" s="20"/>
    </row>
    <row r="3828" spans="2:2" x14ac:dyDescent="0.2">
      <c r="B3828" s="20"/>
    </row>
    <row r="3829" spans="2:2" x14ac:dyDescent="0.2">
      <c r="B3829" s="20"/>
    </row>
    <row r="3830" spans="2:2" x14ac:dyDescent="0.2">
      <c r="B3830" s="20"/>
    </row>
    <row r="3831" spans="2:2" x14ac:dyDescent="0.2">
      <c r="B3831" s="20"/>
    </row>
    <row r="3832" spans="2:2" x14ac:dyDescent="0.2">
      <c r="B3832" s="20"/>
    </row>
    <row r="3833" spans="2:2" x14ac:dyDescent="0.2">
      <c r="B3833" s="20"/>
    </row>
    <row r="3834" spans="2:2" x14ac:dyDescent="0.2">
      <c r="B3834" s="20"/>
    </row>
    <row r="3835" spans="2:2" x14ac:dyDescent="0.2">
      <c r="B3835" s="20"/>
    </row>
    <row r="3836" spans="2:2" x14ac:dyDescent="0.2">
      <c r="B3836" s="20"/>
    </row>
    <row r="3837" spans="2:2" x14ac:dyDescent="0.2">
      <c r="B3837" s="20"/>
    </row>
    <row r="3838" spans="2:2" x14ac:dyDescent="0.2">
      <c r="B3838" s="20"/>
    </row>
    <row r="3839" spans="2:2" x14ac:dyDescent="0.2">
      <c r="B3839" s="20"/>
    </row>
    <row r="3840" spans="2:2" x14ac:dyDescent="0.2">
      <c r="B3840" s="20"/>
    </row>
    <row r="3841" spans="2:2" x14ac:dyDescent="0.2">
      <c r="B3841" s="20"/>
    </row>
    <row r="3842" spans="2:2" x14ac:dyDescent="0.2">
      <c r="B3842" s="20"/>
    </row>
    <row r="3843" spans="2:2" x14ac:dyDescent="0.2">
      <c r="B3843" s="20"/>
    </row>
    <row r="3844" spans="2:2" x14ac:dyDescent="0.2">
      <c r="B3844" s="20"/>
    </row>
    <row r="3845" spans="2:2" x14ac:dyDescent="0.2">
      <c r="B3845" s="20"/>
    </row>
    <row r="3846" spans="2:2" x14ac:dyDescent="0.2">
      <c r="B3846" s="20"/>
    </row>
    <row r="3847" spans="2:2" x14ac:dyDescent="0.2">
      <c r="B3847" s="20"/>
    </row>
    <row r="3848" spans="2:2" x14ac:dyDescent="0.2">
      <c r="B3848" s="20"/>
    </row>
    <row r="3849" spans="2:2" x14ac:dyDescent="0.2">
      <c r="B3849" s="20"/>
    </row>
    <row r="3850" spans="2:2" x14ac:dyDescent="0.2">
      <c r="B3850" s="20"/>
    </row>
    <row r="3851" spans="2:2" x14ac:dyDescent="0.2">
      <c r="B3851" s="20"/>
    </row>
    <row r="3852" spans="2:2" x14ac:dyDescent="0.2">
      <c r="B3852" s="20"/>
    </row>
    <row r="3853" spans="2:2" x14ac:dyDescent="0.2">
      <c r="B3853" s="20"/>
    </row>
    <row r="3854" spans="2:2" x14ac:dyDescent="0.2">
      <c r="B3854" s="20"/>
    </row>
    <row r="3855" spans="2:2" x14ac:dyDescent="0.2">
      <c r="B3855" s="20"/>
    </row>
    <row r="3856" spans="2:2" x14ac:dyDescent="0.2">
      <c r="B3856" s="20"/>
    </row>
    <row r="3857" spans="2:2" x14ac:dyDescent="0.2">
      <c r="B3857" s="20"/>
    </row>
    <row r="3858" spans="2:2" x14ac:dyDescent="0.2">
      <c r="B3858" s="20"/>
    </row>
    <row r="3859" spans="2:2" x14ac:dyDescent="0.2">
      <c r="B3859" s="20"/>
    </row>
    <row r="3860" spans="2:2" x14ac:dyDescent="0.2">
      <c r="B3860" s="20"/>
    </row>
    <row r="3861" spans="2:2" x14ac:dyDescent="0.2">
      <c r="B3861" s="20"/>
    </row>
    <row r="3862" spans="2:2" x14ac:dyDescent="0.2">
      <c r="B3862" s="20"/>
    </row>
    <row r="3863" spans="2:2" x14ac:dyDescent="0.2">
      <c r="B3863" s="20"/>
    </row>
    <row r="3864" spans="2:2" x14ac:dyDescent="0.2">
      <c r="B3864" s="20"/>
    </row>
    <row r="3865" spans="2:2" x14ac:dyDescent="0.2">
      <c r="B3865" s="20"/>
    </row>
    <row r="3866" spans="2:2" x14ac:dyDescent="0.2">
      <c r="B3866" s="20"/>
    </row>
    <row r="3867" spans="2:2" x14ac:dyDescent="0.2">
      <c r="B3867" s="20"/>
    </row>
    <row r="3868" spans="2:2" x14ac:dyDescent="0.2">
      <c r="B3868" s="20"/>
    </row>
    <row r="3869" spans="2:2" x14ac:dyDescent="0.2">
      <c r="B3869" s="20"/>
    </row>
    <row r="3870" spans="2:2" x14ac:dyDescent="0.2">
      <c r="B3870" s="20"/>
    </row>
    <row r="3871" spans="2:2" x14ac:dyDescent="0.2">
      <c r="B3871" s="20"/>
    </row>
    <row r="3872" spans="2:2" x14ac:dyDescent="0.2">
      <c r="B3872" s="20"/>
    </row>
    <row r="3873" spans="2:2" x14ac:dyDescent="0.2">
      <c r="B3873" s="20"/>
    </row>
    <row r="3874" spans="2:2" x14ac:dyDescent="0.2">
      <c r="B3874" s="20"/>
    </row>
    <row r="3875" spans="2:2" x14ac:dyDescent="0.2">
      <c r="B3875" s="20"/>
    </row>
    <row r="3876" spans="2:2" x14ac:dyDescent="0.2">
      <c r="B3876" s="20"/>
    </row>
    <row r="3877" spans="2:2" x14ac:dyDescent="0.2">
      <c r="B3877" s="20"/>
    </row>
    <row r="3878" spans="2:2" x14ac:dyDescent="0.2">
      <c r="B3878" s="20"/>
    </row>
    <row r="3879" spans="2:2" x14ac:dyDescent="0.2">
      <c r="B3879" s="20"/>
    </row>
    <row r="3880" spans="2:2" x14ac:dyDescent="0.2">
      <c r="B3880" s="20"/>
    </row>
    <row r="3881" spans="2:2" x14ac:dyDescent="0.2">
      <c r="B3881" s="20"/>
    </row>
    <row r="3882" spans="2:2" x14ac:dyDescent="0.2">
      <c r="B3882" s="20"/>
    </row>
    <row r="3883" spans="2:2" x14ac:dyDescent="0.2">
      <c r="B3883" s="20"/>
    </row>
    <row r="3884" spans="2:2" x14ac:dyDescent="0.2">
      <c r="B3884" s="20"/>
    </row>
    <row r="3885" spans="2:2" x14ac:dyDescent="0.2">
      <c r="B3885" s="20"/>
    </row>
    <row r="3886" spans="2:2" x14ac:dyDescent="0.2">
      <c r="B3886" s="20"/>
    </row>
    <row r="3887" spans="2:2" x14ac:dyDescent="0.2">
      <c r="B3887" s="20"/>
    </row>
    <row r="3888" spans="2:2" x14ac:dyDescent="0.2">
      <c r="B3888" s="20"/>
    </row>
    <row r="3889" spans="2:2" x14ac:dyDescent="0.2">
      <c r="B3889" s="20"/>
    </row>
    <row r="3890" spans="2:2" x14ac:dyDescent="0.2">
      <c r="B3890" s="20"/>
    </row>
    <row r="3891" spans="2:2" x14ac:dyDescent="0.2">
      <c r="B3891" s="20"/>
    </row>
    <row r="3892" spans="2:2" x14ac:dyDescent="0.2">
      <c r="B3892" s="20"/>
    </row>
    <row r="3893" spans="2:2" x14ac:dyDescent="0.2">
      <c r="B3893" s="20"/>
    </row>
    <row r="3894" spans="2:2" x14ac:dyDescent="0.2">
      <c r="B3894" s="20"/>
    </row>
    <row r="3895" spans="2:2" x14ac:dyDescent="0.2">
      <c r="B3895" s="20"/>
    </row>
    <row r="3896" spans="2:2" x14ac:dyDescent="0.2">
      <c r="B3896" s="20"/>
    </row>
    <row r="3897" spans="2:2" x14ac:dyDescent="0.2">
      <c r="B3897" s="20"/>
    </row>
    <row r="3898" spans="2:2" x14ac:dyDescent="0.2">
      <c r="B3898" s="20"/>
    </row>
    <row r="3899" spans="2:2" x14ac:dyDescent="0.2">
      <c r="B3899" s="20"/>
    </row>
    <row r="3900" spans="2:2" x14ac:dyDescent="0.2">
      <c r="B3900" s="20"/>
    </row>
    <row r="3901" spans="2:2" x14ac:dyDescent="0.2">
      <c r="B3901" s="20"/>
    </row>
    <row r="3902" spans="2:2" x14ac:dyDescent="0.2">
      <c r="B3902" s="20"/>
    </row>
    <row r="3903" spans="2:2" x14ac:dyDescent="0.2">
      <c r="B3903" s="20"/>
    </row>
    <row r="3904" spans="2:2" x14ac:dyDescent="0.2">
      <c r="B3904" s="20"/>
    </row>
    <row r="3905" spans="2:2" x14ac:dyDescent="0.2">
      <c r="B3905" s="20"/>
    </row>
    <row r="3906" spans="2:2" x14ac:dyDescent="0.2">
      <c r="B3906" s="20"/>
    </row>
    <row r="3907" spans="2:2" x14ac:dyDescent="0.2">
      <c r="B3907" s="20"/>
    </row>
    <row r="3908" spans="2:2" x14ac:dyDescent="0.2">
      <c r="B3908" s="20"/>
    </row>
    <row r="3909" spans="2:2" x14ac:dyDescent="0.2">
      <c r="B3909" s="20"/>
    </row>
    <row r="3910" spans="2:2" x14ac:dyDescent="0.2">
      <c r="B3910" s="20"/>
    </row>
    <row r="3911" spans="2:2" x14ac:dyDescent="0.2">
      <c r="B3911" s="20"/>
    </row>
    <row r="3912" spans="2:2" x14ac:dyDescent="0.2">
      <c r="B3912" s="20"/>
    </row>
    <row r="3913" spans="2:2" x14ac:dyDescent="0.2">
      <c r="B3913" s="20"/>
    </row>
    <row r="3914" spans="2:2" x14ac:dyDescent="0.2">
      <c r="B3914" s="20"/>
    </row>
    <row r="3915" spans="2:2" x14ac:dyDescent="0.2">
      <c r="B3915" s="20"/>
    </row>
    <row r="3916" spans="2:2" x14ac:dyDescent="0.2">
      <c r="B3916" s="20"/>
    </row>
    <row r="3917" spans="2:2" x14ac:dyDescent="0.2">
      <c r="B3917" s="20"/>
    </row>
    <row r="3918" spans="2:2" x14ac:dyDescent="0.2">
      <c r="B3918" s="20"/>
    </row>
    <row r="3919" spans="2:2" x14ac:dyDescent="0.2">
      <c r="B3919" s="20"/>
    </row>
    <row r="3920" spans="2:2" x14ac:dyDescent="0.2">
      <c r="B3920" s="20"/>
    </row>
    <row r="3921" spans="2:2" x14ac:dyDescent="0.2">
      <c r="B3921" s="20"/>
    </row>
    <row r="3922" spans="2:2" x14ac:dyDescent="0.2">
      <c r="B3922" s="20"/>
    </row>
    <row r="3923" spans="2:2" x14ac:dyDescent="0.2">
      <c r="B3923" s="20"/>
    </row>
    <row r="3924" spans="2:2" x14ac:dyDescent="0.2">
      <c r="B3924" s="20"/>
    </row>
    <row r="3925" spans="2:2" x14ac:dyDescent="0.2">
      <c r="B3925" s="20"/>
    </row>
    <row r="3926" spans="2:2" x14ac:dyDescent="0.2">
      <c r="B3926" s="20"/>
    </row>
    <row r="3927" spans="2:2" x14ac:dyDescent="0.2">
      <c r="B3927" s="20"/>
    </row>
    <row r="3928" spans="2:2" x14ac:dyDescent="0.2">
      <c r="B3928" s="20"/>
    </row>
    <row r="3929" spans="2:2" x14ac:dyDescent="0.2">
      <c r="B3929" s="20"/>
    </row>
    <row r="3930" spans="2:2" x14ac:dyDescent="0.2">
      <c r="B3930" s="20"/>
    </row>
    <row r="3931" spans="2:2" x14ac:dyDescent="0.2">
      <c r="B3931" s="20"/>
    </row>
    <row r="3932" spans="2:2" x14ac:dyDescent="0.2">
      <c r="B3932" s="20"/>
    </row>
    <row r="3933" spans="2:2" x14ac:dyDescent="0.2">
      <c r="B3933" s="20"/>
    </row>
    <row r="3934" spans="2:2" x14ac:dyDescent="0.2">
      <c r="B3934" s="20"/>
    </row>
    <row r="3935" spans="2:2" x14ac:dyDescent="0.2">
      <c r="B3935" s="20"/>
    </row>
    <row r="3936" spans="2:2" x14ac:dyDescent="0.2">
      <c r="B3936" s="20"/>
    </row>
    <row r="3937" spans="2:2" x14ac:dyDescent="0.2">
      <c r="B3937" s="20"/>
    </row>
    <row r="3938" spans="2:2" x14ac:dyDescent="0.2">
      <c r="B3938" s="20"/>
    </row>
    <row r="3939" spans="2:2" x14ac:dyDescent="0.2">
      <c r="B3939" s="20"/>
    </row>
    <row r="3940" spans="2:2" x14ac:dyDescent="0.2">
      <c r="B3940" s="20"/>
    </row>
    <row r="3941" spans="2:2" x14ac:dyDescent="0.2">
      <c r="B3941" s="20"/>
    </row>
    <row r="3942" spans="2:2" x14ac:dyDescent="0.2">
      <c r="B3942" s="20"/>
    </row>
    <row r="3943" spans="2:2" x14ac:dyDescent="0.2">
      <c r="B3943" s="20"/>
    </row>
    <row r="3944" spans="2:2" x14ac:dyDescent="0.2">
      <c r="B3944" s="20"/>
    </row>
    <row r="3945" spans="2:2" x14ac:dyDescent="0.2">
      <c r="B3945" s="20"/>
    </row>
    <row r="3946" spans="2:2" x14ac:dyDescent="0.2">
      <c r="B3946" s="20"/>
    </row>
    <row r="3947" spans="2:2" x14ac:dyDescent="0.2">
      <c r="B3947" s="20"/>
    </row>
    <row r="3948" spans="2:2" x14ac:dyDescent="0.2">
      <c r="B3948" s="20"/>
    </row>
    <row r="3949" spans="2:2" x14ac:dyDescent="0.2">
      <c r="B3949" s="20"/>
    </row>
    <row r="3950" spans="2:2" x14ac:dyDescent="0.2">
      <c r="B3950" s="20"/>
    </row>
    <row r="3951" spans="2:2" x14ac:dyDescent="0.2">
      <c r="B3951" s="20"/>
    </row>
    <row r="3952" spans="2:2" x14ac:dyDescent="0.2">
      <c r="B3952" s="20"/>
    </row>
    <row r="3953" spans="2:2" x14ac:dyDescent="0.2">
      <c r="B3953" s="20"/>
    </row>
    <row r="3954" spans="2:2" x14ac:dyDescent="0.2">
      <c r="B3954" s="20"/>
    </row>
    <row r="3955" spans="2:2" x14ac:dyDescent="0.2">
      <c r="B3955" s="20"/>
    </row>
    <row r="3956" spans="2:2" x14ac:dyDescent="0.2">
      <c r="B3956" s="20"/>
    </row>
    <row r="3957" spans="2:2" x14ac:dyDescent="0.2">
      <c r="B3957" s="20"/>
    </row>
    <row r="3958" spans="2:2" x14ac:dyDescent="0.2">
      <c r="B3958" s="20"/>
    </row>
    <row r="3959" spans="2:2" x14ac:dyDescent="0.2">
      <c r="B3959" s="20"/>
    </row>
    <row r="3960" spans="2:2" x14ac:dyDescent="0.2">
      <c r="B3960" s="20"/>
    </row>
    <row r="3961" spans="2:2" x14ac:dyDescent="0.2">
      <c r="B3961" s="20"/>
    </row>
    <row r="3962" spans="2:2" x14ac:dyDescent="0.2">
      <c r="B3962" s="20"/>
    </row>
    <row r="3963" spans="2:2" x14ac:dyDescent="0.2">
      <c r="B3963" s="20"/>
    </row>
    <row r="3964" spans="2:2" x14ac:dyDescent="0.2">
      <c r="B3964" s="20"/>
    </row>
    <row r="3965" spans="2:2" x14ac:dyDescent="0.2">
      <c r="B3965" s="20"/>
    </row>
    <row r="3966" spans="2:2" x14ac:dyDescent="0.2">
      <c r="B3966" s="20"/>
    </row>
    <row r="3967" spans="2:2" x14ac:dyDescent="0.2">
      <c r="B3967" s="20"/>
    </row>
    <row r="3968" spans="2:2" x14ac:dyDescent="0.2">
      <c r="B3968" s="20"/>
    </row>
    <row r="3969" spans="2:2" x14ac:dyDescent="0.2">
      <c r="B3969" s="20"/>
    </row>
    <row r="3970" spans="2:2" x14ac:dyDescent="0.2">
      <c r="B3970" s="20"/>
    </row>
    <row r="3971" spans="2:2" x14ac:dyDescent="0.2">
      <c r="B3971" s="20"/>
    </row>
    <row r="3972" spans="2:2" x14ac:dyDescent="0.2">
      <c r="B3972" s="20"/>
    </row>
    <row r="3973" spans="2:2" x14ac:dyDescent="0.2">
      <c r="B3973" s="20"/>
    </row>
    <row r="3974" spans="2:2" x14ac:dyDescent="0.2">
      <c r="B3974" s="20"/>
    </row>
    <row r="3975" spans="2:2" x14ac:dyDescent="0.2">
      <c r="B3975" s="20"/>
    </row>
    <row r="3976" spans="2:2" x14ac:dyDescent="0.2">
      <c r="B3976" s="20"/>
    </row>
    <row r="3977" spans="2:2" x14ac:dyDescent="0.2">
      <c r="B3977" s="20"/>
    </row>
    <row r="3978" spans="2:2" x14ac:dyDescent="0.2">
      <c r="B3978" s="20"/>
    </row>
    <row r="3979" spans="2:2" x14ac:dyDescent="0.2">
      <c r="B3979" s="20"/>
    </row>
    <row r="3980" spans="2:2" x14ac:dyDescent="0.2">
      <c r="B3980" s="20"/>
    </row>
    <row r="3981" spans="2:2" x14ac:dyDescent="0.2">
      <c r="B3981" s="20"/>
    </row>
    <row r="3982" spans="2:2" x14ac:dyDescent="0.2">
      <c r="B3982" s="20"/>
    </row>
    <row r="3983" spans="2:2" x14ac:dyDescent="0.2">
      <c r="B3983" s="20"/>
    </row>
    <row r="3984" spans="2:2" x14ac:dyDescent="0.2">
      <c r="B3984" s="20"/>
    </row>
    <row r="3985" spans="2:2" x14ac:dyDescent="0.2">
      <c r="B3985" s="20"/>
    </row>
    <row r="3986" spans="2:2" x14ac:dyDescent="0.2">
      <c r="B3986" s="20"/>
    </row>
    <row r="3987" spans="2:2" x14ac:dyDescent="0.2">
      <c r="B3987" s="20"/>
    </row>
    <row r="3988" spans="2:2" x14ac:dyDescent="0.2">
      <c r="B3988" s="20"/>
    </row>
    <row r="3989" spans="2:2" x14ac:dyDescent="0.2">
      <c r="B3989" s="20"/>
    </row>
    <row r="3990" spans="2:2" x14ac:dyDescent="0.2">
      <c r="B3990" s="20"/>
    </row>
    <row r="3991" spans="2:2" x14ac:dyDescent="0.2">
      <c r="B3991" s="20"/>
    </row>
    <row r="3992" spans="2:2" x14ac:dyDescent="0.2">
      <c r="B3992" s="20"/>
    </row>
    <row r="3993" spans="2:2" x14ac:dyDescent="0.2">
      <c r="B3993" s="20"/>
    </row>
    <row r="3994" spans="2:2" x14ac:dyDescent="0.2">
      <c r="B3994" s="20"/>
    </row>
    <row r="3995" spans="2:2" x14ac:dyDescent="0.2">
      <c r="B3995" s="20"/>
    </row>
    <row r="3996" spans="2:2" x14ac:dyDescent="0.2">
      <c r="B3996" s="20"/>
    </row>
    <row r="3997" spans="2:2" x14ac:dyDescent="0.2">
      <c r="B3997" s="20"/>
    </row>
    <row r="3998" spans="2:2" x14ac:dyDescent="0.2">
      <c r="B3998" s="20"/>
    </row>
    <row r="3999" spans="2:2" x14ac:dyDescent="0.2">
      <c r="B3999" s="20"/>
    </row>
    <row r="4000" spans="2:2" x14ac:dyDescent="0.2">
      <c r="B4000" s="20"/>
    </row>
    <row r="4001" spans="2:2" x14ac:dyDescent="0.2">
      <c r="B4001" s="20"/>
    </row>
    <row r="4002" spans="2:2" x14ac:dyDescent="0.2">
      <c r="B4002" s="20"/>
    </row>
    <row r="4003" spans="2:2" x14ac:dyDescent="0.2">
      <c r="B4003" s="20"/>
    </row>
    <row r="4004" spans="2:2" x14ac:dyDescent="0.2">
      <c r="B4004" s="20"/>
    </row>
    <row r="4005" spans="2:2" x14ac:dyDescent="0.2">
      <c r="B4005" s="20"/>
    </row>
    <row r="4006" spans="2:2" x14ac:dyDescent="0.2">
      <c r="B4006" s="20"/>
    </row>
    <row r="4007" spans="2:2" x14ac:dyDescent="0.2">
      <c r="B4007" s="20"/>
    </row>
    <row r="4008" spans="2:2" x14ac:dyDescent="0.2">
      <c r="B4008" s="20"/>
    </row>
    <row r="4009" spans="2:2" x14ac:dyDescent="0.2">
      <c r="B4009" s="20"/>
    </row>
    <row r="4010" spans="2:2" x14ac:dyDescent="0.2">
      <c r="B4010" s="20"/>
    </row>
    <row r="4011" spans="2:2" x14ac:dyDescent="0.2">
      <c r="B4011" s="20"/>
    </row>
    <row r="4012" spans="2:2" x14ac:dyDescent="0.2">
      <c r="B4012" s="20"/>
    </row>
    <row r="4013" spans="2:2" x14ac:dyDescent="0.2">
      <c r="B4013" s="20"/>
    </row>
    <row r="4014" spans="2:2" x14ac:dyDescent="0.2">
      <c r="B4014" s="20"/>
    </row>
    <row r="4015" spans="2:2" x14ac:dyDescent="0.2">
      <c r="B4015" s="20"/>
    </row>
    <row r="4016" spans="2:2" x14ac:dyDescent="0.2">
      <c r="B4016" s="20"/>
    </row>
    <row r="4017" spans="2:2" x14ac:dyDescent="0.2">
      <c r="B4017" s="20"/>
    </row>
    <row r="4018" spans="2:2" x14ac:dyDescent="0.2">
      <c r="B4018" s="20"/>
    </row>
    <row r="4019" spans="2:2" x14ac:dyDescent="0.2">
      <c r="B4019" s="20"/>
    </row>
    <row r="4020" spans="2:2" x14ac:dyDescent="0.2">
      <c r="B4020" s="20"/>
    </row>
    <row r="4021" spans="2:2" x14ac:dyDescent="0.2">
      <c r="B4021" s="20"/>
    </row>
    <row r="4022" spans="2:2" x14ac:dyDescent="0.2">
      <c r="B4022" s="20"/>
    </row>
    <row r="4023" spans="2:2" x14ac:dyDescent="0.2">
      <c r="B4023" s="20"/>
    </row>
    <row r="4024" spans="2:2" x14ac:dyDescent="0.2">
      <c r="B4024" s="20"/>
    </row>
    <row r="4025" spans="2:2" x14ac:dyDescent="0.2">
      <c r="B4025" s="20"/>
    </row>
    <row r="4026" spans="2:2" x14ac:dyDescent="0.2">
      <c r="B4026" s="20"/>
    </row>
    <row r="4027" spans="2:2" x14ac:dyDescent="0.2">
      <c r="B4027" s="20"/>
    </row>
    <row r="4028" spans="2:2" x14ac:dyDescent="0.2">
      <c r="B4028" s="20"/>
    </row>
    <row r="4029" spans="2:2" x14ac:dyDescent="0.2">
      <c r="B4029" s="20"/>
    </row>
    <row r="4030" spans="2:2" x14ac:dyDescent="0.2">
      <c r="B4030" s="20"/>
    </row>
    <row r="4031" spans="2:2" x14ac:dyDescent="0.2">
      <c r="B4031" s="20"/>
    </row>
    <row r="4032" spans="2:2" x14ac:dyDescent="0.2">
      <c r="B4032" s="20"/>
    </row>
    <row r="4033" spans="2:2" x14ac:dyDescent="0.2">
      <c r="B4033" s="20"/>
    </row>
    <row r="4034" spans="2:2" x14ac:dyDescent="0.2">
      <c r="B4034" s="20"/>
    </row>
    <row r="4035" spans="2:2" x14ac:dyDescent="0.2">
      <c r="B4035" s="20"/>
    </row>
    <row r="4036" spans="2:2" x14ac:dyDescent="0.2">
      <c r="B4036" s="20"/>
    </row>
    <row r="4037" spans="2:2" x14ac:dyDescent="0.2">
      <c r="B4037" s="20"/>
    </row>
    <row r="4038" spans="2:2" x14ac:dyDescent="0.2">
      <c r="B4038" s="20"/>
    </row>
    <row r="4039" spans="2:2" x14ac:dyDescent="0.2">
      <c r="B4039" s="20"/>
    </row>
    <row r="4040" spans="2:2" x14ac:dyDescent="0.2">
      <c r="B4040" s="20"/>
    </row>
    <row r="4041" spans="2:2" x14ac:dyDescent="0.2">
      <c r="B4041" s="20"/>
    </row>
    <row r="4042" spans="2:2" x14ac:dyDescent="0.2">
      <c r="B4042" s="20"/>
    </row>
    <row r="4043" spans="2:2" x14ac:dyDescent="0.2">
      <c r="B4043" s="20"/>
    </row>
    <row r="4044" spans="2:2" x14ac:dyDescent="0.2">
      <c r="B4044" s="20"/>
    </row>
    <row r="4045" spans="2:2" x14ac:dyDescent="0.2">
      <c r="B4045" s="20"/>
    </row>
    <row r="4046" spans="2:2" x14ac:dyDescent="0.2">
      <c r="B4046" s="20"/>
    </row>
    <row r="4047" spans="2:2" x14ac:dyDescent="0.2">
      <c r="B4047" s="20"/>
    </row>
    <row r="4048" spans="2:2" x14ac:dyDescent="0.2">
      <c r="B4048" s="20"/>
    </row>
    <row r="4049" spans="2:2" x14ac:dyDescent="0.2">
      <c r="B4049" s="20"/>
    </row>
    <row r="4050" spans="2:2" x14ac:dyDescent="0.2">
      <c r="B4050" s="20"/>
    </row>
    <row r="4051" spans="2:2" x14ac:dyDescent="0.2">
      <c r="B4051" s="20"/>
    </row>
    <row r="4052" spans="2:2" x14ac:dyDescent="0.2">
      <c r="B4052" s="20"/>
    </row>
    <row r="4053" spans="2:2" x14ac:dyDescent="0.2">
      <c r="B4053" s="20"/>
    </row>
    <row r="4054" spans="2:2" x14ac:dyDescent="0.2">
      <c r="B4054" s="20"/>
    </row>
    <row r="4055" spans="2:2" x14ac:dyDescent="0.2">
      <c r="B4055" s="20"/>
    </row>
    <row r="4056" spans="2:2" x14ac:dyDescent="0.2">
      <c r="B4056" s="20"/>
    </row>
    <row r="4057" spans="2:2" x14ac:dyDescent="0.2">
      <c r="B4057" s="20"/>
    </row>
    <row r="4058" spans="2:2" x14ac:dyDescent="0.2">
      <c r="B4058" s="20"/>
    </row>
    <row r="4059" spans="2:2" x14ac:dyDescent="0.2">
      <c r="B4059" s="20"/>
    </row>
    <row r="4060" spans="2:2" x14ac:dyDescent="0.2">
      <c r="B4060" s="20"/>
    </row>
    <row r="4061" spans="2:2" x14ac:dyDescent="0.2">
      <c r="B4061" s="20"/>
    </row>
    <row r="4062" spans="2:2" x14ac:dyDescent="0.2">
      <c r="B4062" s="20"/>
    </row>
    <row r="4063" spans="2:2" x14ac:dyDescent="0.2">
      <c r="B4063" s="20"/>
    </row>
    <row r="4064" spans="2:2" x14ac:dyDescent="0.2">
      <c r="B4064" s="20"/>
    </row>
    <row r="4065" spans="2:2" x14ac:dyDescent="0.2">
      <c r="B4065" s="20"/>
    </row>
    <row r="4066" spans="2:2" x14ac:dyDescent="0.2">
      <c r="B4066" s="20"/>
    </row>
    <row r="4067" spans="2:2" x14ac:dyDescent="0.2">
      <c r="B4067" s="20"/>
    </row>
    <row r="4068" spans="2:2" x14ac:dyDescent="0.2">
      <c r="B4068" s="20"/>
    </row>
    <row r="4069" spans="2:2" x14ac:dyDescent="0.2">
      <c r="B4069" s="20"/>
    </row>
    <row r="4070" spans="2:2" x14ac:dyDescent="0.2">
      <c r="B4070" s="20"/>
    </row>
    <row r="4071" spans="2:2" x14ac:dyDescent="0.2">
      <c r="B4071" s="20"/>
    </row>
    <row r="4072" spans="2:2" x14ac:dyDescent="0.2">
      <c r="B4072" s="20"/>
    </row>
    <row r="4073" spans="2:2" x14ac:dyDescent="0.2">
      <c r="B4073" s="20"/>
    </row>
    <row r="4074" spans="2:2" x14ac:dyDescent="0.2">
      <c r="B4074" s="20"/>
    </row>
    <row r="4075" spans="2:2" x14ac:dyDescent="0.2">
      <c r="B4075" s="20"/>
    </row>
    <row r="4076" spans="2:2" x14ac:dyDescent="0.2">
      <c r="B4076" s="20"/>
    </row>
    <row r="4077" spans="2:2" x14ac:dyDescent="0.2">
      <c r="B4077" s="20"/>
    </row>
    <row r="4078" spans="2:2" x14ac:dyDescent="0.2">
      <c r="B4078" s="20"/>
    </row>
    <row r="4079" spans="2:2" x14ac:dyDescent="0.2">
      <c r="B4079" s="20"/>
    </row>
    <row r="4080" spans="2:2" x14ac:dyDescent="0.2">
      <c r="B4080" s="20"/>
    </row>
    <row r="4081" spans="2:2" x14ac:dyDescent="0.2">
      <c r="B4081" s="20"/>
    </row>
    <row r="4082" spans="2:2" x14ac:dyDescent="0.2">
      <c r="B4082" s="20"/>
    </row>
    <row r="4083" spans="2:2" x14ac:dyDescent="0.2">
      <c r="B4083" s="20"/>
    </row>
    <row r="4084" spans="2:2" x14ac:dyDescent="0.2">
      <c r="B4084" s="20"/>
    </row>
    <row r="4085" spans="2:2" x14ac:dyDescent="0.2">
      <c r="B4085" s="20"/>
    </row>
    <row r="4086" spans="2:2" x14ac:dyDescent="0.2">
      <c r="B4086" s="20"/>
    </row>
    <row r="4087" spans="2:2" x14ac:dyDescent="0.2">
      <c r="B4087" s="20"/>
    </row>
    <row r="4088" spans="2:2" x14ac:dyDescent="0.2">
      <c r="B4088" s="20"/>
    </row>
    <row r="4089" spans="2:2" x14ac:dyDescent="0.2">
      <c r="B4089" s="20"/>
    </row>
    <row r="4090" spans="2:2" x14ac:dyDescent="0.2">
      <c r="B4090" s="20"/>
    </row>
    <row r="4091" spans="2:2" x14ac:dyDescent="0.2">
      <c r="B4091" s="20"/>
    </row>
    <row r="4092" spans="2:2" x14ac:dyDescent="0.2">
      <c r="B4092" s="20"/>
    </row>
    <row r="4093" spans="2:2" x14ac:dyDescent="0.2">
      <c r="B4093" s="20"/>
    </row>
    <row r="4094" spans="2:2" x14ac:dyDescent="0.2">
      <c r="B4094" s="20"/>
    </row>
    <row r="4095" spans="2:2" x14ac:dyDescent="0.2">
      <c r="B4095" s="20"/>
    </row>
    <row r="4096" spans="2:2" x14ac:dyDescent="0.2">
      <c r="B4096" s="20"/>
    </row>
    <row r="4097" spans="2:2" x14ac:dyDescent="0.2">
      <c r="B4097" s="20"/>
    </row>
    <row r="4098" spans="2:2" x14ac:dyDescent="0.2">
      <c r="B4098" s="20"/>
    </row>
    <row r="4099" spans="2:2" x14ac:dyDescent="0.2">
      <c r="B4099" s="20"/>
    </row>
    <row r="4100" spans="2:2" x14ac:dyDescent="0.2">
      <c r="B4100" s="20"/>
    </row>
    <row r="4101" spans="2:2" x14ac:dyDescent="0.2">
      <c r="B4101" s="20"/>
    </row>
    <row r="4102" spans="2:2" x14ac:dyDescent="0.2">
      <c r="B4102" s="20"/>
    </row>
    <row r="4103" spans="2:2" x14ac:dyDescent="0.2">
      <c r="B4103" s="20"/>
    </row>
    <row r="4104" spans="2:2" x14ac:dyDescent="0.2">
      <c r="B4104" s="20"/>
    </row>
    <row r="4105" spans="2:2" x14ac:dyDescent="0.2">
      <c r="B4105" s="20"/>
    </row>
    <row r="4106" spans="2:2" x14ac:dyDescent="0.2">
      <c r="B4106" s="20"/>
    </row>
    <row r="4107" spans="2:2" x14ac:dyDescent="0.2">
      <c r="B4107" s="20"/>
    </row>
    <row r="4108" spans="2:2" x14ac:dyDescent="0.2">
      <c r="B4108" s="20"/>
    </row>
    <row r="4109" spans="2:2" x14ac:dyDescent="0.2">
      <c r="B4109" s="20"/>
    </row>
    <row r="4110" spans="2:2" x14ac:dyDescent="0.2">
      <c r="B4110" s="20"/>
    </row>
    <row r="4111" spans="2:2" x14ac:dyDescent="0.2">
      <c r="B4111" s="20"/>
    </row>
    <row r="4112" spans="2:2" x14ac:dyDescent="0.2">
      <c r="B4112" s="20"/>
    </row>
    <row r="4113" spans="2:2" x14ac:dyDescent="0.2">
      <c r="B4113" s="20"/>
    </row>
    <row r="4114" spans="2:2" x14ac:dyDescent="0.2">
      <c r="B4114" s="20"/>
    </row>
    <row r="4115" spans="2:2" x14ac:dyDescent="0.2">
      <c r="B4115" s="20"/>
    </row>
    <row r="4116" spans="2:2" x14ac:dyDescent="0.2">
      <c r="B4116" s="20"/>
    </row>
    <row r="4117" spans="2:2" x14ac:dyDescent="0.2">
      <c r="B4117" s="20"/>
    </row>
    <row r="4118" spans="2:2" x14ac:dyDescent="0.2">
      <c r="B4118" s="20"/>
    </row>
    <row r="4119" spans="2:2" x14ac:dyDescent="0.2">
      <c r="B4119" s="20"/>
    </row>
    <row r="4120" spans="2:2" x14ac:dyDescent="0.2">
      <c r="B4120" s="20"/>
    </row>
    <row r="4121" spans="2:2" x14ac:dyDescent="0.2">
      <c r="B4121" s="20"/>
    </row>
    <row r="4122" spans="2:2" x14ac:dyDescent="0.2">
      <c r="B4122" s="20"/>
    </row>
    <row r="4123" spans="2:2" x14ac:dyDescent="0.2">
      <c r="B4123" s="20"/>
    </row>
    <row r="4124" spans="2:2" x14ac:dyDescent="0.2">
      <c r="B4124" s="20"/>
    </row>
    <row r="4125" spans="2:2" x14ac:dyDescent="0.2">
      <c r="B4125" s="20"/>
    </row>
    <row r="4126" spans="2:2" x14ac:dyDescent="0.2">
      <c r="B4126" s="20"/>
    </row>
    <row r="4127" spans="2:2" x14ac:dyDescent="0.2">
      <c r="B4127" s="20"/>
    </row>
    <row r="4128" spans="2:2" x14ac:dyDescent="0.2">
      <c r="B4128" s="20"/>
    </row>
    <row r="4129" spans="2:2" x14ac:dyDescent="0.2">
      <c r="B4129" s="20"/>
    </row>
    <row r="4130" spans="2:2" x14ac:dyDescent="0.2">
      <c r="B4130" s="20"/>
    </row>
    <row r="4131" spans="2:2" x14ac:dyDescent="0.2">
      <c r="B4131" s="20"/>
    </row>
    <row r="4132" spans="2:2" x14ac:dyDescent="0.2">
      <c r="B4132" s="20"/>
    </row>
    <row r="4133" spans="2:2" x14ac:dyDescent="0.2">
      <c r="B4133" s="20"/>
    </row>
    <row r="4134" spans="2:2" x14ac:dyDescent="0.2">
      <c r="B4134" s="20"/>
    </row>
    <row r="4135" spans="2:2" x14ac:dyDescent="0.2">
      <c r="B4135" s="20"/>
    </row>
    <row r="4136" spans="2:2" x14ac:dyDescent="0.2">
      <c r="B4136" s="20"/>
    </row>
    <row r="4137" spans="2:2" x14ac:dyDescent="0.2">
      <c r="B4137" s="20"/>
    </row>
    <row r="4138" spans="2:2" x14ac:dyDescent="0.2">
      <c r="B4138" s="20"/>
    </row>
    <row r="4139" spans="2:2" x14ac:dyDescent="0.2">
      <c r="B4139" s="20"/>
    </row>
    <row r="4140" spans="2:2" x14ac:dyDescent="0.2">
      <c r="B4140" s="20"/>
    </row>
    <row r="4141" spans="2:2" x14ac:dyDescent="0.2">
      <c r="B4141" s="20"/>
    </row>
    <row r="4142" spans="2:2" x14ac:dyDescent="0.2">
      <c r="B4142" s="20"/>
    </row>
    <row r="4143" spans="2:2" x14ac:dyDescent="0.2">
      <c r="B4143" s="20"/>
    </row>
    <row r="4144" spans="2:2" x14ac:dyDescent="0.2">
      <c r="B4144" s="20"/>
    </row>
    <row r="4145" spans="2:2" x14ac:dyDescent="0.2">
      <c r="B4145" s="20"/>
    </row>
    <row r="4146" spans="2:2" x14ac:dyDescent="0.2">
      <c r="B4146" s="20"/>
    </row>
    <row r="4147" spans="2:2" x14ac:dyDescent="0.2">
      <c r="B4147" s="20"/>
    </row>
    <row r="4148" spans="2:2" x14ac:dyDescent="0.2">
      <c r="B4148" s="20"/>
    </row>
    <row r="4149" spans="2:2" x14ac:dyDescent="0.2">
      <c r="B4149" s="20"/>
    </row>
    <row r="4150" spans="2:2" x14ac:dyDescent="0.2">
      <c r="B4150" s="20"/>
    </row>
    <row r="4151" spans="2:2" x14ac:dyDescent="0.2">
      <c r="B4151" s="20"/>
    </row>
    <row r="4152" spans="2:2" x14ac:dyDescent="0.2">
      <c r="B4152" s="20"/>
    </row>
    <row r="4153" spans="2:2" x14ac:dyDescent="0.2">
      <c r="B4153" s="20"/>
    </row>
    <row r="4154" spans="2:2" x14ac:dyDescent="0.2">
      <c r="B4154" s="20"/>
    </row>
    <row r="4155" spans="2:2" x14ac:dyDescent="0.2">
      <c r="B4155" s="20"/>
    </row>
    <row r="4156" spans="2:2" x14ac:dyDescent="0.2">
      <c r="B4156" s="20"/>
    </row>
    <row r="4157" spans="2:2" x14ac:dyDescent="0.2">
      <c r="B4157" s="20"/>
    </row>
    <row r="4158" spans="2:2" x14ac:dyDescent="0.2">
      <c r="B4158" s="20"/>
    </row>
    <row r="4159" spans="2:2" x14ac:dyDescent="0.2">
      <c r="B4159" s="20"/>
    </row>
    <row r="4160" spans="2:2" x14ac:dyDescent="0.2">
      <c r="B4160" s="20"/>
    </row>
    <row r="4161" spans="2:2" x14ac:dyDescent="0.2">
      <c r="B4161" s="20"/>
    </row>
    <row r="4162" spans="2:2" x14ac:dyDescent="0.2">
      <c r="B4162" s="20"/>
    </row>
    <row r="4163" spans="2:2" x14ac:dyDescent="0.2">
      <c r="B4163" s="20"/>
    </row>
    <row r="4164" spans="2:2" x14ac:dyDescent="0.2">
      <c r="B4164" s="20"/>
    </row>
    <row r="4165" spans="2:2" x14ac:dyDescent="0.2">
      <c r="B4165" s="20"/>
    </row>
    <row r="4166" spans="2:2" x14ac:dyDescent="0.2">
      <c r="B4166" s="20"/>
    </row>
    <row r="4167" spans="2:2" x14ac:dyDescent="0.2">
      <c r="B4167" s="20"/>
    </row>
    <row r="4168" spans="2:2" x14ac:dyDescent="0.2">
      <c r="B4168" s="20"/>
    </row>
    <row r="4169" spans="2:2" x14ac:dyDescent="0.2">
      <c r="B4169" s="20"/>
    </row>
    <row r="4170" spans="2:2" x14ac:dyDescent="0.2">
      <c r="B4170" s="20"/>
    </row>
    <row r="4171" spans="2:2" x14ac:dyDescent="0.2">
      <c r="B4171" s="20"/>
    </row>
    <row r="4172" spans="2:2" x14ac:dyDescent="0.2">
      <c r="B4172" s="20"/>
    </row>
    <row r="4173" spans="2:2" x14ac:dyDescent="0.2">
      <c r="B4173" s="20"/>
    </row>
    <row r="4174" spans="2:2" x14ac:dyDescent="0.2">
      <c r="B4174" s="20"/>
    </row>
    <row r="4175" spans="2:2" x14ac:dyDescent="0.2">
      <c r="B4175" s="20"/>
    </row>
    <row r="4176" spans="2:2" x14ac:dyDescent="0.2">
      <c r="B4176" s="20"/>
    </row>
    <row r="4177" spans="2:2" x14ac:dyDescent="0.2">
      <c r="B4177" s="20"/>
    </row>
    <row r="4178" spans="2:2" x14ac:dyDescent="0.2">
      <c r="B4178" s="20"/>
    </row>
    <row r="4179" spans="2:2" x14ac:dyDescent="0.2">
      <c r="B4179" s="20"/>
    </row>
    <row r="4180" spans="2:2" x14ac:dyDescent="0.2">
      <c r="B4180" s="20"/>
    </row>
    <row r="4181" spans="2:2" x14ac:dyDescent="0.2">
      <c r="B4181" s="20"/>
    </row>
    <row r="4182" spans="2:2" x14ac:dyDescent="0.2">
      <c r="B4182" s="20"/>
    </row>
    <row r="4183" spans="2:2" x14ac:dyDescent="0.2">
      <c r="B4183" s="20"/>
    </row>
    <row r="4184" spans="2:2" x14ac:dyDescent="0.2">
      <c r="B4184" s="20"/>
    </row>
    <row r="4185" spans="2:2" x14ac:dyDescent="0.2">
      <c r="B4185" s="20"/>
    </row>
    <row r="4186" spans="2:2" x14ac:dyDescent="0.2">
      <c r="B4186" s="20"/>
    </row>
    <row r="4187" spans="2:2" x14ac:dyDescent="0.2">
      <c r="B4187" s="20"/>
    </row>
    <row r="4188" spans="2:2" x14ac:dyDescent="0.2">
      <c r="B4188" s="20"/>
    </row>
    <row r="4189" spans="2:2" x14ac:dyDescent="0.2">
      <c r="B4189" s="20"/>
    </row>
    <row r="4190" spans="2:2" x14ac:dyDescent="0.2">
      <c r="B4190" s="20"/>
    </row>
    <row r="4191" spans="2:2" x14ac:dyDescent="0.2">
      <c r="B4191" s="20"/>
    </row>
    <row r="4192" spans="2:2" x14ac:dyDescent="0.2">
      <c r="B4192" s="20"/>
    </row>
    <row r="4193" spans="2:2" x14ac:dyDescent="0.2">
      <c r="B4193" s="20"/>
    </row>
    <row r="4194" spans="2:2" x14ac:dyDescent="0.2">
      <c r="B4194" s="20"/>
    </row>
    <row r="4195" spans="2:2" x14ac:dyDescent="0.2">
      <c r="B4195" s="20"/>
    </row>
    <row r="4196" spans="2:2" x14ac:dyDescent="0.2">
      <c r="B4196" s="20"/>
    </row>
    <row r="4197" spans="2:2" x14ac:dyDescent="0.2">
      <c r="B4197" s="20"/>
    </row>
    <row r="4198" spans="2:2" x14ac:dyDescent="0.2">
      <c r="B4198" s="20"/>
    </row>
    <row r="4199" spans="2:2" x14ac:dyDescent="0.2">
      <c r="B4199" s="20"/>
    </row>
    <row r="4200" spans="2:2" x14ac:dyDescent="0.2">
      <c r="B4200" s="20"/>
    </row>
    <row r="4201" spans="2:2" x14ac:dyDescent="0.2">
      <c r="B4201" s="20"/>
    </row>
    <row r="4202" spans="2:2" x14ac:dyDescent="0.2">
      <c r="B4202" s="20"/>
    </row>
    <row r="4203" spans="2:2" x14ac:dyDescent="0.2">
      <c r="B4203" s="20"/>
    </row>
    <row r="4204" spans="2:2" x14ac:dyDescent="0.2">
      <c r="B4204" s="20"/>
    </row>
    <row r="4205" spans="2:2" x14ac:dyDescent="0.2">
      <c r="B4205" s="20"/>
    </row>
    <row r="4206" spans="2:2" x14ac:dyDescent="0.2">
      <c r="B4206" s="20"/>
    </row>
    <row r="4207" spans="2:2" x14ac:dyDescent="0.2">
      <c r="B4207" s="20"/>
    </row>
    <row r="4208" spans="2:2" x14ac:dyDescent="0.2">
      <c r="B4208" s="20"/>
    </row>
    <row r="4209" spans="2:2" x14ac:dyDescent="0.2">
      <c r="B4209" s="20"/>
    </row>
    <row r="4210" spans="2:2" x14ac:dyDescent="0.2">
      <c r="B4210" s="20"/>
    </row>
    <row r="4211" spans="2:2" x14ac:dyDescent="0.2">
      <c r="B4211" s="20"/>
    </row>
    <row r="4212" spans="2:2" x14ac:dyDescent="0.2">
      <c r="B4212" s="20"/>
    </row>
    <row r="4213" spans="2:2" x14ac:dyDescent="0.2">
      <c r="B4213" s="20"/>
    </row>
    <row r="4214" spans="2:2" x14ac:dyDescent="0.2">
      <c r="B4214" s="20"/>
    </row>
    <row r="4215" spans="2:2" x14ac:dyDescent="0.2">
      <c r="B4215" s="20"/>
    </row>
    <row r="4216" spans="2:2" x14ac:dyDescent="0.2">
      <c r="B4216" s="20"/>
    </row>
    <row r="4217" spans="2:2" x14ac:dyDescent="0.2">
      <c r="B4217" s="20"/>
    </row>
    <row r="4218" spans="2:2" x14ac:dyDescent="0.2">
      <c r="B4218" s="20"/>
    </row>
    <row r="4219" spans="2:2" x14ac:dyDescent="0.2">
      <c r="B4219" s="20"/>
    </row>
    <row r="4220" spans="2:2" x14ac:dyDescent="0.2">
      <c r="B4220" s="20"/>
    </row>
    <row r="4221" spans="2:2" x14ac:dyDescent="0.2">
      <c r="B4221" s="20"/>
    </row>
    <row r="4222" spans="2:2" x14ac:dyDescent="0.2">
      <c r="B4222" s="20"/>
    </row>
    <row r="4223" spans="2:2" x14ac:dyDescent="0.2">
      <c r="B4223" s="20"/>
    </row>
    <row r="4224" spans="2:2" x14ac:dyDescent="0.2">
      <c r="B4224" s="20"/>
    </row>
    <row r="4225" spans="2:2" x14ac:dyDescent="0.2">
      <c r="B4225" s="20"/>
    </row>
    <row r="4226" spans="2:2" x14ac:dyDescent="0.2">
      <c r="B4226" s="20"/>
    </row>
    <row r="4227" spans="2:2" x14ac:dyDescent="0.2">
      <c r="B4227" s="20"/>
    </row>
    <row r="4228" spans="2:2" x14ac:dyDescent="0.2">
      <c r="B4228" s="20"/>
    </row>
    <row r="4229" spans="2:2" x14ac:dyDescent="0.2">
      <c r="B4229" s="20"/>
    </row>
    <row r="4230" spans="2:2" x14ac:dyDescent="0.2">
      <c r="B4230" s="20"/>
    </row>
    <row r="4231" spans="2:2" x14ac:dyDescent="0.2">
      <c r="B4231" s="20"/>
    </row>
    <row r="4232" spans="2:2" x14ac:dyDescent="0.2">
      <c r="B4232" s="20"/>
    </row>
    <row r="4233" spans="2:2" x14ac:dyDescent="0.2">
      <c r="B4233" s="20"/>
    </row>
    <row r="4234" spans="2:2" x14ac:dyDescent="0.2">
      <c r="B4234" s="20"/>
    </row>
    <row r="4235" spans="2:2" x14ac:dyDescent="0.2">
      <c r="B4235" s="20"/>
    </row>
    <row r="4236" spans="2:2" x14ac:dyDescent="0.2">
      <c r="B4236" s="20"/>
    </row>
    <row r="4237" spans="2:2" x14ac:dyDescent="0.2">
      <c r="B4237" s="20"/>
    </row>
    <row r="4238" spans="2:2" x14ac:dyDescent="0.2">
      <c r="B4238" s="20"/>
    </row>
    <row r="4239" spans="2:2" x14ac:dyDescent="0.2">
      <c r="B4239" s="20"/>
    </row>
    <row r="4240" spans="2:2" x14ac:dyDescent="0.2">
      <c r="B4240" s="20"/>
    </row>
    <row r="4241" spans="2:2" x14ac:dyDescent="0.2">
      <c r="B4241" s="20"/>
    </row>
    <row r="4242" spans="2:2" x14ac:dyDescent="0.2">
      <c r="B4242" s="20"/>
    </row>
    <row r="4243" spans="2:2" x14ac:dyDescent="0.2">
      <c r="B4243" s="20"/>
    </row>
    <row r="4244" spans="2:2" x14ac:dyDescent="0.2">
      <c r="B4244" s="20"/>
    </row>
    <row r="4245" spans="2:2" x14ac:dyDescent="0.2">
      <c r="B4245" s="20"/>
    </row>
    <row r="4246" spans="2:2" x14ac:dyDescent="0.2">
      <c r="B4246" s="20"/>
    </row>
    <row r="4247" spans="2:2" x14ac:dyDescent="0.2">
      <c r="B4247" s="20"/>
    </row>
    <row r="4248" spans="2:2" x14ac:dyDescent="0.2">
      <c r="B4248" s="20"/>
    </row>
    <row r="4249" spans="2:2" x14ac:dyDescent="0.2">
      <c r="B4249" s="20"/>
    </row>
    <row r="4250" spans="2:2" x14ac:dyDescent="0.2">
      <c r="B4250" s="20"/>
    </row>
    <row r="4251" spans="2:2" x14ac:dyDescent="0.2">
      <c r="B4251" s="20"/>
    </row>
    <row r="4252" spans="2:2" x14ac:dyDescent="0.2">
      <c r="B4252" s="20"/>
    </row>
    <row r="4253" spans="2:2" x14ac:dyDescent="0.2">
      <c r="B4253" s="20"/>
    </row>
    <row r="4254" spans="2:2" x14ac:dyDescent="0.2">
      <c r="B4254" s="20"/>
    </row>
    <row r="4255" spans="2:2" x14ac:dyDescent="0.2">
      <c r="B4255" s="20"/>
    </row>
    <row r="4256" spans="2:2" x14ac:dyDescent="0.2">
      <c r="B4256" s="20"/>
    </row>
    <row r="4257" spans="2:2" x14ac:dyDescent="0.2">
      <c r="B4257" s="20"/>
    </row>
    <row r="4258" spans="2:2" x14ac:dyDescent="0.2">
      <c r="B4258" s="20"/>
    </row>
    <row r="4259" spans="2:2" x14ac:dyDescent="0.2">
      <c r="B4259" s="20"/>
    </row>
    <row r="4260" spans="2:2" x14ac:dyDescent="0.2">
      <c r="B4260" s="20"/>
    </row>
    <row r="4261" spans="2:2" x14ac:dyDescent="0.2">
      <c r="B4261" s="20"/>
    </row>
    <row r="4262" spans="2:2" x14ac:dyDescent="0.2">
      <c r="B4262" s="20"/>
    </row>
    <row r="4263" spans="2:2" x14ac:dyDescent="0.2">
      <c r="B4263" s="20"/>
    </row>
    <row r="4264" spans="2:2" x14ac:dyDescent="0.2">
      <c r="B4264" s="20"/>
    </row>
    <row r="4265" spans="2:2" x14ac:dyDescent="0.2">
      <c r="B4265" s="20"/>
    </row>
    <row r="4266" spans="2:2" x14ac:dyDescent="0.2">
      <c r="B4266" s="20"/>
    </row>
    <row r="4267" spans="2:2" x14ac:dyDescent="0.2">
      <c r="B4267" s="20"/>
    </row>
    <row r="4268" spans="2:2" x14ac:dyDescent="0.2">
      <c r="B4268" s="20"/>
    </row>
    <row r="4269" spans="2:2" x14ac:dyDescent="0.2">
      <c r="B4269" s="20"/>
    </row>
    <row r="4270" spans="2:2" x14ac:dyDescent="0.2">
      <c r="B4270" s="20"/>
    </row>
    <row r="4271" spans="2:2" x14ac:dyDescent="0.2">
      <c r="B4271" s="20"/>
    </row>
    <row r="4272" spans="2:2" x14ac:dyDescent="0.2">
      <c r="B4272" s="20"/>
    </row>
    <row r="4273" spans="2:2" x14ac:dyDescent="0.2">
      <c r="B4273" s="20"/>
    </row>
    <row r="4274" spans="2:2" x14ac:dyDescent="0.2">
      <c r="B4274" s="20"/>
    </row>
    <row r="4275" spans="2:2" x14ac:dyDescent="0.2">
      <c r="B4275" s="20"/>
    </row>
    <row r="4276" spans="2:2" x14ac:dyDescent="0.2">
      <c r="B4276" s="20"/>
    </row>
    <row r="4277" spans="2:2" x14ac:dyDescent="0.2">
      <c r="B4277" s="20"/>
    </row>
    <row r="4278" spans="2:2" x14ac:dyDescent="0.2">
      <c r="B4278" s="20"/>
    </row>
    <row r="4279" spans="2:2" x14ac:dyDescent="0.2">
      <c r="B4279" s="20"/>
    </row>
    <row r="4280" spans="2:2" x14ac:dyDescent="0.2">
      <c r="B4280" s="20"/>
    </row>
    <row r="4281" spans="2:2" x14ac:dyDescent="0.2">
      <c r="B4281" s="20"/>
    </row>
    <row r="4282" spans="2:2" x14ac:dyDescent="0.2">
      <c r="B4282" s="20"/>
    </row>
    <row r="4283" spans="2:2" x14ac:dyDescent="0.2">
      <c r="B4283" s="20"/>
    </row>
    <row r="4284" spans="2:2" x14ac:dyDescent="0.2">
      <c r="B4284" s="20"/>
    </row>
    <row r="4285" spans="2:2" x14ac:dyDescent="0.2">
      <c r="B4285" s="20"/>
    </row>
    <row r="4286" spans="2:2" x14ac:dyDescent="0.2">
      <c r="B4286" s="20"/>
    </row>
    <row r="4287" spans="2:2" x14ac:dyDescent="0.2">
      <c r="B4287" s="20"/>
    </row>
    <row r="4288" spans="2:2" x14ac:dyDescent="0.2">
      <c r="B4288" s="20"/>
    </row>
    <row r="4289" spans="2:2" x14ac:dyDescent="0.2">
      <c r="B4289" s="20"/>
    </row>
    <row r="4290" spans="2:2" x14ac:dyDescent="0.2">
      <c r="B4290" s="20"/>
    </row>
    <row r="4291" spans="2:2" x14ac:dyDescent="0.2">
      <c r="B4291" s="20"/>
    </row>
    <row r="4292" spans="2:2" x14ac:dyDescent="0.2">
      <c r="B4292" s="20"/>
    </row>
    <row r="4293" spans="2:2" x14ac:dyDescent="0.2">
      <c r="B4293" s="20"/>
    </row>
    <row r="4294" spans="2:2" x14ac:dyDescent="0.2">
      <c r="B4294" s="20"/>
    </row>
    <row r="4295" spans="2:2" x14ac:dyDescent="0.2">
      <c r="B4295" s="20"/>
    </row>
    <row r="4296" spans="2:2" x14ac:dyDescent="0.2">
      <c r="B4296" s="20"/>
    </row>
    <row r="4297" spans="2:2" x14ac:dyDescent="0.2">
      <c r="B4297" s="20"/>
    </row>
    <row r="4298" spans="2:2" x14ac:dyDescent="0.2">
      <c r="B4298" s="20"/>
    </row>
    <row r="4299" spans="2:2" x14ac:dyDescent="0.2">
      <c r="B4299" s="20"/>
    </row>
    <row r="4300" spans="2:2" x14ac:dyDescent="0.2">
      <c r="B4300" s="20"/>
    </row>
    <row r="4301" spans="2:2" x14ac:dyDescent="0.2">
      <c r="B4301" s="20"/>
    </row>
    <row r="4302" spans="2:2" x14ac:dyDescent="0.2">
      <c r="B4302" s="20"/>
    </row>
    <row r="4303" spans="2:2" x14ac:dyDescent="0.2">
      <c r="B4303" s="20"/>
    </row>
    <row r="4304" spans="2:2" x14ac:dyDescent="0.2">
      <c r="B4304" s="20"/>
    </row>
    <row r="4305" spans="2:2" x14ac:dyDescent="0.2">
      <c r="B4305" s="20"/>
    </row>
    <row r="4306" spans="2:2" x14ac:dyDescent="0.2">
      <c r="B4306" s="20"/>
    </row>
    <row r="4307" spans="2:2" x14ac:dyDescent="0.2">
      <c r="B4307" s="20"/>
    </row>
    <row r="4308" spans="2:2" x14ac:dyDescent="0.2">
      <c r="B4308" s="20"/>
    </row>
    <row r="4309" spans="2:2" x14ac:dyDescent="0.2">
      <c r="B4309" s="20"/>
    </row>
    <row r="4310" spans="2:2" x14ac:dyDescent="0.2">
      <c r="B4310" s="20"/>
    </row>
    <row r="4311" spans="2:2" x14ac:dyDescent="0.2">
      <c r="B4311" s="20"/>
    </row>
    <row r="4312" spans="2:2" x14ac:dyDescent="0.2">
      <c r="B4312" s="20"/>
    </row>
    <row r="4313" spans="2:2" x14ac:dyDescent="0.2">
      <c r="B4313" s="20"/>
    </row>
    <row r="4314" spans="2:2" x14ac:dyDescent="0.2">
      <c r="B4314" s="20"/>
    </row>
    <row r="4315" spans="2:2" x14ac:dyDescent="0.2">
      <c r="B4315" s="20"/>
    </row>
    <row r="4316" spans="2:2" x14ac:dyDescent="0.2">
      <c r="B4316" s="20"/>
    </row>
    <row r="4317" spans="2:2" x14ac:dyDescent="0.2">
      <c r="B4317" s="20"/>
    </row>
    <row r="4318" spans="2:2" x14ac:dyDescent="0.2">
      <c r="B4318" s="20"/>
    </row>
    <row r="4319" spans="2:2" x14ac:dyDescent="0.2">
      <c r="B4319" s="20"/>
    </row>
    <row r="4320" spans="2:2" x14ac:dyDescent="0.2">
      <c r="B4320" s="20"/>
    </row>
    <row r="4321" spans="2:2" x14ac:dyDescent="0.2">
      <c r="B4321" s="20"/>
    </row>
    <row r="4322" spans="2:2" x14ac:dyDescent="0.2">
      <c r="B4322" s="20"/>
    </row>
    <row r="4323" spans="2:2" x14ac:dyDescent="0.2">
      <c r="B4323" s="20"/>
    </row>
    <row r="4324" spans="2:2" x14ac:dyDescent="0.2">
      <c r="B4324" s="20"/>
    </row>
    <row r="4325" spans="2:2" x14ac:dyDescent="0.2">
      <c r="B4325" s="20"/>
    </row>
    <row r="4326" spans="2:2" x14ac:dyDescent="0.2">
      <c r="B4326" s="20"/>
    </row>
    <row r="4327" spans="2:2" x14ac:dyDescent="0.2">
      <c r="B4327" s="20"/>
    </row>
    <row r="4328" spans="2:2" x14ac:dyDescent="0.2">
      <c r="B4328" s="20"/>
    </row>
    <row r="4329" spans="2:2" x14ac:dyDescent="0.2">
      <c r="B4329" s="20"/>
    </row>
    <row r="4330" spans="2:2" x14ac:dyDescent="0.2">
      <c r="B4330" s="20"/>
    </row>
    <row r="4331" spans="2:2" x14ac:dyDescent="0.2">
      <c r="B4331" s="20"/>
    </row>
    <row r="4332" spans="2:2" x14ac:dyDescent="0.2">
      <c r="B4332" s="20"/>
    </row>
    <row r="4333" spans="2:2" x14ac:dyDescent="0.2">
      <c r="B4333" s="20"/>
    </row>
    <row r="4334" spans="2:2" x14ac:dyDescent="0.2">
      <c r="B4334" s="20"/>
    </row>
    <row r="4335" spans="2:2" x14ac:dyDescent="0.2">
      <c r="B4335" s="20"/>
    </row>
    <row r="4336" spans="2:2" x14ac:dyDescent="0.2">
      <c r="B4336" s="20"/>
    </row>
    <row r="4337" spans="2:2" x14ac:dyDescent="0.2">
      <c r="B4337" s="20"/>
    </row>
    <row r="4338" spans="2:2" x14ac:dyDescent="0.2">
      <c r="B4338" s="20"/>
    </row>
    <row r="4339" spans="2:2" x14ac:dyDescent="0.2">
      <c r="B4339" s="20"/>
    </row>
    <row r="4340" spans="2:2" x14ac:dyDescent="0.2">
      <c r="B4340" s="20"/>
    </row>
    <row r="4341" spans="2:2" x14ac:dyDescent="0.2">
      <c r="B4341" s="20"/>
    </row>
    <row r="4342" spans="2:2" x14ac:dyDescent="0.2">
      <c r="B4342" s="20"/>
    </row>
    <row r="4343" spans="2:2" x14ac:dyDescent="0.2">
      <c r="B4343" s="20"/>
    </row>
    <row r="4344" spans="2:2" x14ac:dyDescent="0.2">
      <c r="B4344" s="20"/>
    </row>
    <row r="4345" spans="2:2" x14ac:dyDescent="0.2">
      <c r="B4345" s="20"/>
    </row>
    <row r="4346" spans="2:2" x14ac:dyDescent="0.2">
      <c r="B4346" s="20"/>
    </row>
    <row r="4347" spans="2:2" x14ac:dyDescent="0.2">
      <c r="B4347" s="20"/>
    </row>
    <row r="4348" spans="2:2" x14ac:dyDescent="0.2">
      <c r="B4348" s="20"/>
    </row>
    <row r="4349" spans="2:2" x14ac:dyDescent="0.2">
      <c r="B4349" s="20"/>
    </row>
    <row r="4350" spans="2:2" x14ac:dyDescent="0.2">
      <c r="B4350" s="20"/>
    </row>
    <row r="4351" spans="2:2" x14ac:dyDescent="0.2">
      <c r="B4351" s="20"/>
    </row>
    <row r="4352" spans="2:2" x14ac:dyDescent="0.2">
      <c r="B4352" s="20"/>
    </row>
    <row r="4353" spans="2:2" x14ac:dyDescent="0.2">
      <c r="B4353" s="20"/>
    </row>
    <row r="4354" spans="2:2" x14ac:dyDescent="0.2">
      <c r="B4354" s="20"/>
    </row>
    <row r="4355" spans="2:2" x14ac:dyDescent="0.2">
      <c r="B4355" s="20"/>
    </row>
    <row r="4356" spans="2:2" x14ac:dyDescent="0.2">
      <c r="B4356" s="20"/>
    </row>
    <row r="4357" spans="2:2" x14ac:dyDescent="0.2">
      <c r="B4357" s="20"/>
    </row>
    <row r="4358" spans="2:2" x14ac:dyDescent="0.2">
      <c r="B4358" s="20"/>
    </row>
    <row r="4359" spans="2:2" x14ac:dyDescent="0.2">
      <c r="B4359" s="20"/>
    </row>
    <row r="4360" spans="2:2" x14ac:dyDescent="0.2">
      <c r="B4360" s="20"/>
    </row>
    <row r="4361" spans="2:2" x14ac:dyDescent="0.2">
      <c r="B4361" s="20"/>
    </row>
    <row r="4362" spans="2:2" x14ac:dyDescent="0.2">
      <c r="B4362" s="20"/>
    </row>
    <row r="4363" spans="2:2" x14ac:dyDescent="0.2">
      <c r="B4363" s="20"/>
    </row>
    <row r="4364" spans="2:2" x14ac:dyDescent="0.2">
      <c r="B4364" s="20"/>
    </row>
    <row r="4365" spans="2:2" x14ac:dyDescent="0.2">
      <c r="B4365" s="20"/>
    </row>
    <row r="4366" spans="2:2" x14ac:dyDescent="0.2">
      <c r="B4366" s="20"/>
    </row>
    <row r="4367" spans="2:2" x14ac:dyDescent="0.2">
      <c r="B4367" s="20"/>
    </row>
    <row r="4368" spans="2:2" x14ac:dyDescent="0.2">
      <c r="B4368" s="20"/>
    </row>
    <row r="4369" spans="2:2" x14ac:dyDescent="0.2">
      <c r="B4369" s="20"/>
    </row>
    <row r="4370" spans="2:2" x14ac:dyDescent="0.2">
      <c r="B4370" s="20"/>
    </row>
    <row r="4371" spans="2:2" x14ac:dyDescent="0.2">
      <c r="B4371" s="20"/>
    </row>
    <row r="4372" spans="2:2" x14ac:dyDescent="0.2">
      <c r="B4372" s="20"/>
    </row>
    <row r="4373" spans="2:2" x14ac:dyDescent="0.2">
      <c r="B4373" s="20"/>
    </row>
    <row r="4374" spans="2:2" x14ac:dyDescent="0.2">
      <c r="B4374" s="20"/>
    </row>
    <row r="4375" spans="2:2" x14ac:dyDescent="0.2">
      <c r="B4375" s="20"/>
    </row>
    <row r="4376" spans="2:2" x14ac:dyDescent="0.2">
      <c r="B4376" s="20"/>
    </row>
    <row r="4377" spans="2:2" x14ac:dyDescent="0.2">
      <c r="B4377" s="20"/>
    </row>
    <row r="4378" spans="2:2" x14ac:dyDescent="0.2">
      <c r="B4378" s="20"/>
    </row>
    <row r="4379" spans="2:2" x14ac:dyDescent="0.2">
      <c r="B4379" s="20"/>
    </row>
    <row r="4380" spans="2:2" x14ac:dyDescent="0.2">
      <c r="B4380" s="20"/>
    </row>
    <row r="4381" spans="2:2" x14ac:dyDescent="0.2">
      <c r="B4381" s="20"/>
    </row>
    <row r="4382" spans="2:2" x14ac:dyDescent="0.2">
      <c r="B4382" s="20"/>
    </row>
    <row r="4383" spans="2:2" x14ac:dyDescent="0.2">
      <c r="B4383" s="20"/>
    </row>
    <row r="4384" spans="2:2" x14ac:dyDescent="0.2">
      <c r="B4384" s="20"/>
    </row>
    <row r="4385" spans="2:2" x14ac:dyDescent="0.2">
      <c r="B4385" s="20"/>
    </row>
    <row r="4386" spans="2:2" x14ac:dyDescent="0.2">
      <c r="B4386" s="20"/>
    </row>
    <row r="4387" spans="2:2" x14ac:dyDescent="0.2">
      <c r="B4387" s="20"/>
    </row>
    <row r="4388" spans="2:2" x14ac:dyDescent="0.2">
      <c r="B4388" s="20"/>
    </row>
    <row r="4389" spans="2:2" x14ac:dyDescent="0.2">
      <c r="B4389" s="20"/>
    </row>
    <row r="4390" spans="2:2" x14ac:dyDescent="0.2">
      <c r="B4390" s="20"/>
    </row>
    <row r="4391" spans="2:2" x14ac:dyDescent="0.2">
      <c r="B4391" s="20"/>
    </row>
    <row r="4392" spans="2:2" x14ac:dyDescent="0.2">
      <c r="B4392" s="20"/>
    </row>
    <row r="4393" spans="2:2" x14ac:dyDescent="0.2">
      <c r="B4393" s="20"/>
    </row>
    <row r="4394" spans="2:2" x14ac:dyDescent="0.2">
      <c r="B4394" s="20"/>
    </row>
    <row r="4395" spans="2:2" x14ac:dyDescent="0.2">
      <c r="B4395" s="20"/>
    </row>
    <row r="4396" spans="2:2" x14ac:dyDescent="0.2">
      <c r="B4396" s="20"/>
    </row>
    <row r="4397" spans="2:2" x14ac:dyDescent="0.2">
      <c r="B4397" s="20"/>
    </row>
    <row r="4398" spans="2:2" x14ac:dyDescent="0.2">
      <c r="B4398" s="20"/>
    </row>
    <row r="4399" spans="2:2" x14ac:dyDescent="0.2">
      <c r="B4399" s="20"/>
    </row>
    <row r="4400" spans="2:2" x14ac:dyDescent="0.2">
      <c r="B4400" s="20"/>
    </row>
    <row r="4401" spans="2:2" x14ac:dyDescent="0.2">
      <c r="B4401" s="20"/>
    </row>
    <row r="4402" spans="2:2" x14ac:dyDescent="0.2">
      <c r="B4402" s="20"/>
    </row>
    <row r="4403" spans="2:2" x14ac:dyDescent="0.2">
      <c r="B4403" s="20"/>
    </row>
    <row r="4404" spans="2:2" x14ac:dyDescent="0.2">
      <c r="B4404" s="20"/>
    </row>
    <row r="4405" spans="2:2" x14ac:dyDescent="0.2">
      <c r="B4405" s="20"/>
    </row>
    <row r="4406" spans="2:2" x14ac:dyDescent="0.2">
      <c r="B4406" s="20"/>
    </row>
    <row r="4407" spans="2:2" x14ac:dyDescent="0.2">
      <c r="B4407" s="20"/>
    </row>
    <row r="4408" spans="2:2" x14ac:dyDescent="0.2">
      <c r="B4408" s="20"/>
    </row>
    <row r="4409" spans="2:2" x14ac:dyDescent="0.2">
      <c r="B4409" s="20"/>
    </row>
    <row r="4410" spans="2:2" x14ac:dyDescent="0.2">
      <c r="B4410" s="20"/>
    </row>
    <row r="4411" spans="2:2" x14ac:dyDescent="0.2">
      <c r="B4411" s="20"/>
    </row>
    <row r="4412" spans="2:2" x14ac:dyDescent="0.2">
      <c r="B4412" s="20"/>
    </row>
    <row r="4413" spans="2:2" x14ac:dyDescent="0.2">
      <c r="B4413" s="20"/>
    </row>
    <row r="4414" spans="2:2" x14ac:dyDescent="0.2">
      <c r="B4414" s="20"/>
    </row>
    <row r="4415" spans="2:2" x14ac:dyDescent="0.2">
      <c r="B4415" s="20"/>
    </row>
    <row r="4416" spans="2:2" x14ac:dyDescent="0.2">
      <c r="B4416" s="20"/>
    </row>
    <row r="4417" spans="2:2" x14ac:dyDescent="0.2">
      <c r="B4417" s="20"/>
    </row>
    <row r="4418" spans="2:2" x14ac:dyDescent="0.2">
      <c r="B4418" s="20"/>
    </row>
    <row r="4419" spans="2:2" x14ac:dyDescent="0.2">
      <c r="B4419" s="20"/>
    </row>
    <row r="4420" spans="2:2" x14ac:dyDescent="0.2">
      <c r="B4420" s="20"/>
    </row>
    <row r="4421" spans="2:2" x14ac:dyDescent="0.2">
      <c r="B4421" s="20"/>
    </row>
    <row r="4422" spans="2:2" x14ac:dyDescent="0.2">
      <c r="B4422" s="20"/>
    </row>
    <row r="4423" spans="2:2" x14ac:dyDescent="0.2">
      <c r="B4423" s="20"/>
    </row>
    <row r="4424" spans="2:2" x14ac:dyDescent="0.2">
      <c r="B4424" s="20"/>
    </row>
    <row r="4425" spans="2:2" x14ac:dyDescent="0.2">
      <c r="B4425" s="20"/>
    </row>
    <row r="4426" spans="2:2" x14ac:dyDescent="0.2">
      <c r="B4426" s="20"/>
    </row>
    <row r="4427" spans="2:2" x14ac:dyDescent="0.2">
      <c r="B4427" s="20"/>
    </row>
    <row r="4428" spans="2:2" x14ac:dyDescent="0.2">
      <c r="B4428" s="20"/>
    </row>
    <row r="4429" spans="2:2" x14ac:dyDescent="0.2">
      <c r="B4429" s="20"/>
    </row>
    <row r="4430" spans="2:2" x14ac:dyDescent="0.2">
      <c r="B4430" s="20"/>
    </row>
    <row r="4431" spans="2:2" x14ac:dyDescent="0.2">
      <c r="B4431" s="20"/>
    </row>
    <row r="4432" spans="2:2" x14ac:dyDescent="0.2">
      <c r="B4432" s="20"/>
    </row>
    <row r="4433" spans="2:2" x14ac:dyDescent="0.2">
      <c r="B4433" s="20"/>
    </row>
    <row r="4434" spans="2:2" x14ac:dyDescent="0.2">
      <c r="B4434" s="20"/>
    </row>
    <row r="4435" spans="2:2" x14ac:dyDescent="0.2">
      <c r="B4435" s="20"/>
    </row>
    <row r="4436" spans="2:2" x14ac:dyDescent="0.2">
      <c r="B4436" s="20"/>
    </row>
    <row r="4437" spans="2:2" x14ac:dyDescent="0.2">
      <c r="B4437" s="20"/>
    </row>
    <row r="4438" spans="2:2" x14ac:dyDescent="0.2">
      <c r="B4438" s="20"/>
    </row>
    <row r="4439" spans="2:2" x14ac:dyDescent="0.2">
      <c r="B4439" s="20"/>
    </row>
    <row r="4440" spans="2:2" x14ac:dyDescent="0.2">
      <c r="B4440" s="20"/>
    </row>
    <row r="4441" spans="2:2" x14ac:dyDescent="0.2">
      <c r="B4441" s="20"/>
    </row>
    <row r="4442" spans="2:2" x14ac:dyDescent="0.2">
      <c r="B4442" s="20"/>
    </row>
    <row r="4443" spans="2:2" x14ac:dyDescent="0.2">
      <c r="B4443" s="20"/>
    </row>
    <row r="4444" spans="2:2" x14ac:dyDescent="0.2">
      <c r="B4444" s="20"/>
    </row>
    <row r="4445" spans="2:2" x14ac:dyDescent="0.2">
      <c r="B4445" s="20"/>
    </row>
    <row r="4446" spans="2:2" x14ac:dyDescent="0.2">
      <c r="B4446" s="20"/>
    </row>
    <row r="4447" spans="2:2" x14ac:dyDescent="0.2">
      <c r="B4447" s="20"/>
    </row>
    <row r="4448" spans="2:2" x14ac:dyDescent="0.2">
      <c r="B4448" s="20"/>
    </row>
    <row r="4449" spans="2:2" x14ac:dyDescent="0.2">
      <c r="B4449" s="20"/>
    </row>
    <row r="4450" spans="2:2" x14ac:dyDescent="0.2">
      <c r="B4450" s="20"/>
    </row>
    <row r="4451" spans="2:2" x14ac:dyDescent="0.2">
      <c r="B4451" s="20"/>
    </row>
    <row r="4452" spans="2:2" x14ac:dyDescent="0.2">
      <c r="B4452" s="20"/>
    </row>
    <row r="4453" spans="2:2" x14ac:dyDescent="0.2">
      <c r="B4453" s="20"/>
    </row>
    <row r="4454" spans="2:2" x14ac:dyDescent="0.2">
      <c r="B4454" s="20"/>
    </row>
    <row r="4455" spans="2:2" x14ac:dyDescent="0.2">
      <c r="B4455" s="20"/>
    </row>
    <row r="4456" spans="2:2" x14ac:dyDescent="0.2">
      <c r="B4456" s="20"/>
    </row>
    <row r="4457" spans="2:2" x14ac:dyDescent="0.2">
      <c r="B4457" s="20"/>
    </row>
    <row r="4458" spans="2:2" x14ac:dyDescent="0.2">
      <c r="B4458" s="20"/>
    </row>
    <row r="4459" spans="2:2" x14ac:dyDescent="0.2">
      <c r="B4459" s="20"/>
    </row>
    <row r="4460" spans="2:2" x14ac:dyDescent="0.2">
      <c r="B4460" s="20"/>
    </row>
    <row r="4461" spans="2:2" x14ac:dyDescent="0.2">
      <c r="B4461" s="20"/>
    </row>
    <row r="4462" spans="2:2" x14ac:dyDescent="0.2">
      <c r="B4462" s="20"/>
    </row>
    <row r="4463" spans="2:2" x14ac:dyDescent="0.2">
      <c r="B4463" s="20"/>
    </row>
    <row r="4464" spans="2:2" x14ac:dyDescent="0.2">
      <c r="B4464" s="20"/>
    </row>
    <row r="4465" spans="2:2" x14ac:dyDescent="0.2">
      <c r="B4465" s="20"/>
    </row>
    <row r="4466" spans="2:2" x14ac:dyDescent="0.2">
      <c r="B4466" s="20"/>
    </row>
    <row r="4467" spans="2:2" x14ac:dyDescent="0.2">
      <c r="B4467" s="20"/>
    </row>
    <row r="4468" spans="2:2" x14ac:dyDescent="0.2">
      <c r="B4468" s="20"/>
    </row>
    <row r="4469" spans="2:2" x14ac:dyDescent="0.2">
      <c r="B4469" s="20"/>
    </row>
    <row r="4470" spans="2:2" x14ac:dyDescent="0.2">
      <c r="B4470" s="20"/>
    </row>
    <row r="4471" spans="2:2" x14ac:dyDescent="0.2">
      <c r="B4471" s="20"/>
    </row>
    <row r="4472" spans="2:2" x14ac:dyDescent="0.2">
      <c r="B4472" s="20"/>
    </row>
    <row r="4473" spans="2:2" x14ac:dyDescent="0.2">
      <c r="B4473" s="20"/>
    </row>
    <row r="4474" spans="2:2" x14ac:dyDescent="0.2">
      <c r="B4474" s="20"/>
    </row>
    <row r="4475" spans="2:2" x14ac:dyDescent="0.2">
      <c r="B4475" s="20"/>
    </row>
    <row r="4476" spans="2:2" x14ac:dyDescent="0.2">
      <c r="B4476" s="20"/>
    </row>
    <row r="4477" spans="2:2" x14ac:dyDescent="0.2">
      <c r="B4477" s="20"/>
    </row>
    <row r="4478" spans="2:2" x14ac:dyDescent="0.2">
      <c r="B4478" s="20"/>
    </row>
    <row r="4479" spans="2:2" x14ac:dyDescent="0.2">
      <c r="B4479" s="20"/>
    </row>
    <row r="4480" spans="2:2" x14ac:dyDescent="0.2">
      <c r="B4480" s="20"/>
    </row>
    <row r="4481" spans="2:2" x14ac:dyDescent="0.2">
      <c r="B4481" s="20"/>
    </row>
    <row r="4482" spans="2:2" x14ac:dyDescent="0.2">
      <c r="B4482" s="20"/>
    </row>
    <row r="4483" spans="2:2" x14ac:dyDescent="0.2">
      <c r="B4483" s="20"/>
    </row>
    <row r="4484" spans="2:2" x14ac:dyDescent="0.2">
      <c r="B4484" s="20"/>
    </row>
    <row r="4485" spans="2:2" x14ac:dyDescent="0.2">
      <c r="B4485" s="20"/>
    </row>
    <row r="4486" spans="2:2" x14ac:dyDescent="0.2">
      <c r="B4486" s="20"/>
    </row>
    <row r="4487" spans="2:2" x14ac:dyDescent="0.2">
      <c r="B4487" s="20"/>
    </row>
    <row r="4488" spans="2:2" x14ac:dyDescent="0.2">
      <c r="B4488" s="20"/>
    </row>
    <row r="4489" spans="2:2" x14ac:dyDescent="0.2">
      <c r="B4489" s="20"/>
    </row>
    <row r="4490" spans="2:2" x14ac:dyDescent="0.2">
      <c r="B4490" s="20"/>
    </row>
    <row r="4491" spans="2:2" x14ac:dyDescent="0.2">
      <c r="B4491" s="20"/>
    </row>
    <row r="4492" spans="2:2" x14ac:dyDescent="0.2">
      <c r="B4492" s="20"/>
    </row>
    <row r="4493" spans="2:2" x14ac:dyDescent="0.2">
      <c r="B4493" s="20"/>
    </row>
    <row r="4494" spans="2:2" x14ac:dyDescent="0.2">
      <c r="B4494" s="20"/>
    </row>
    <row r="4495" spans="2:2" x14ac:dyDescent="0.2">
      <c r="B4495" s="20"/>
    </row>
    <row r="4496" spans="2:2" x14ac:dyDescent="0.2">
      <c r="B4496" s="20"/>
    </row>
    <row r="4497" spans="2:2" x14ac:dyDescent="0.2">
      <c r="B4497" s="20"/>
    </row>
    <row r="4498" spans="2:2" x14ac:dyDescent="0.2">
      <c r="B4498" s="20"/>
    </row>
    <row r="4499" spans="2:2" x14ac:dyDescent="0.2">
      <c r="B4499" s="20"/>
    </row>
    <row r="4500" spans="2:2" x14ac:dyDescent="0.2">
      <c r="B4500" s="20"/>
    </row>
    <row r="4501" spans="2:2" x14ac:dyDescent="0.2">
      <c r="B4501" s="20"/>
    </row>
    <row r="4502" spans="2:2" x14ac:dyDescent="0.2">
      <c r="B4502" s="20"/>
    </row>
    <row r="4503" spans="2:2" x14ac:dyDescent="0.2">
      <c r="B4503" s="20"/>
    </row>
    <row r="4504" spans="2:2" x14ac:dyDescent="0.2">
      <c r="B4504" s="20"/>
    </row>
    <row r="4505" spans="2:2" x14ac:dyDescent="0.2">
      <c r="B4505" s="20"/>
    </row>
    <row r="4506" spans="2:2" x14ac:dyDescent="0.2">
      <c r="B4506" s="20"/>
    </row>
    <row r="4507" spans="2:2" x14ac:dyDescent="0.2">
      <c r="B4507" s="20"/>
    </row>
    <row r="4508" spans="2:2" x14ac:dyDescent="0.2">
      <c r="B4508" s="20"/>
    </row>
    <row r="4509" spans="2:2" x14ac:dyDescent="0.2">
      <c r="B4509" s="20"/>
    </row>
    <row r="4510" spans="2:2" x14ac:dyDescent="0.2">
      <c r="B4510" s="20"/>
    </row>
    <row r="4511" spans="2:2" x14ac:dyDescent="0.2">
      <c r="B4511" s="20"/>
    </row>
    <row r="4512" spans="2:2" x14ac:dyDescent="0.2">
      <c r="B4512" s="20"/>
    </row>
    <row r="4513" spans="2:2" x14ac:dyDescent="0.2">
      <c r="B4513" s="20"/>
    </row>
    <row r="4514" spans="2:2" x14ac:dyDescent="0.2">
      <c r="B4514" s="20"/>
    </row>
    <row r="4515" spans="2:2" x14ac:dyDescent="0.2">
      <c r="B4515" s="20"/>
    </row>
    <row r="4516" spans="2:2" x14ac:dyDescent="0.2">
      <c r="B4516" s="20"/>
    </row>
    <row r="4517" spans="2:2" x14ac:dyDescent="0.2">
      <c r="B4517" s="20"/>
    </row>
    <row r="4518" spans="2:2" x14ac:dyDescent="0.2">
      <c r="B4518" s="20"/>
    </row>
    <row r="4519" spans="2:2" x14ac:dyDescent="0.2">
      <c r="B4519" s="20"/>
    </row>
    <row r="4520" spans="2:2" x14ac:dyDescent="0.2">
      <c r="B4520" s="20"/>
    </row>
    <row r="4521" spans="2:2" x14ac:dyDescent="0.2">
      <c r="B4521" s="20"/>
    </row>
    <row r="4522" spans="2:2" x14ac:dyDescent="0.2">
      <c r="B4522" s="20"/>
    </row>
    <row r="4523" spans="2:2" x14ac:dyDescent="0.2">
      <c r="B4523" s="20"/>
    </row>
    <row r="4524" spans="2:2" x14ac:dyDescent="0.2">
      <c r="B4524" s="20"/>
    </row>
    <row r="4525" spans="2:2" x14ac:dyDescent="0.2">
      <c r="B4525" s="20"/>
    </row>
    <row r="4526" spans="2:2" x14ac:dyDescent="0.2">
      <c r="B4526" s="20"/>
    </row>
    <row r="4527" spans="2:2" x14ac:dyDescent="0.2">
      <c r="B4527" s="20"/>
    </row>
    <row r="4528" spans="2:2" x14ac:dyDescent="0.2">
      <c r="B4528" s="20"/>
    </row>
    <row r="4529" spans="2:2" x14ac:dyDescent="0.2">
      <c r="B4529" s="20"/>
    </row>
    <row r="4530" spans="2:2" x14ac:dyDescent="0.2">
      <c r="B4530" s="20"/>
    </row>
    <row r="4531" spans="2:2" x14ac:dyDescent="0.2">
      <c r="B4531" s="20"/>
    </row>
    <row r="4532" spans="2:2" x14ac:dyDescent="0.2">
      <c r="B4532" s="20"/>
    </row>
    <row r="4533" spans="2:2" x14ac:dyDescent="0.2">
      <c r="B4533" s="20"/>
    </row>
    <row r="4534" spans="2:2" x14ac:dyDescent="0.2">
      <c r="B4534" s="20"/>
    </row>
    <row r="4535" spans="2:2" x14ac:dyDescent="0.2">
      <c r="B4535" s="20"/>
    </row>
    <row r="4536" spans="2:2" x14ac:dyDescent="0.2">
      <c r="B4536" s="20"/>
    </row>
    <row r="4537" spans="2:2" x14ac:dyDescent="0.2">
      <c r="B4537" s="20"/>
    </row>
    <row r="4538" spans="2:2" x14ac:dyDescent="0.2">
      <c r="B4538" s="20"/>
    </row>
    <row r="4539" spans="2:2" x14ac:dyDescent="0.2">
      <c r="B4539" s="20"/>
    </row>
    <row r="4540" spans="2:2" x14ac:dyDescent="0.2">
      <c r="B4540" s="20"/>
    </row>
    <row r="4541" spans="2:2" x14ac:dyDescent="0.2">
      <c r="B4541" s="20"/>
    </row>
    <row r="4542" spans="2:2" x14ac:dyDescent="0.2">
      <c r="B4542" s="20"/>
    </row>
    <row r="4543" spans="2:2" x14ac:dyDescent="0.2">
      <c r="B4543" s="20"/>
    </row>
    <row r="4544" spans="2:2" x14ac:dyDescent="0.2">
      <c r="B4544" s="20"/>
    </row>
    <row r="4545" spans="2:2" x14ac:dyDescent="0.2">
      <c r="B4545" s="20"/>
    </row>
    <row r="4546" spans="2:2" x14ac:dyDescent="0.2">
      <c r="B4546" s="20"/>
    </row>
    <row r="4547" spans="2:2" x14ac:dyDescent="0.2">
      <c r="B4547" s="20"/>
    </row>
    <row r="4548" spans="2:2" x14ac:dyDescent="0.2">
      <c r="B4548" s="20"/>
    </row>
    <row r="4549" spans="2:2" x14ac:dyDescent="0.2">
      <c r="B4549" s="20"/>
    </row>
    <row r="4550" spans="2:2" x14ac:dyDescent="0.2">
      <c r="B4550" s="20"/>
    </row>
    <row r="4551" spans="2:2" x14ac:dyDescent="0.2">
      <c r="B4551" s="20"/>
    </row>
    <row r="4552" spans="2:2" x14ac:dyDescent="0.2">
      <c r="B4552" s="20"/>
    </row>
    <row r="4553" spans="2:2" x14ac:dyDescent="0.2">
      <c r="B4553" s="20"/>
    </row>
    <row r="4554" spans="2:2" x14ac:dyDescent="0.2">
      <c r="B4554" s="20"/>
    </row>
    <row r="4555" spans="2:2" x14ac:dyDescent="0.2">
      <c r="B4555" s="20"/>
    </row>
    <row r="4556" spans="2:2" x14ac:dyDescent="0.2">
      <c r="B4556" s="20"/>
    </row>
    <row r="4557" spans="2:2" x14ac:dyDescent="0.2">
      <c r="B4557" s="20"/>
    </row>
    <row r="4558" spans="2:2" x14ac:dyDescent="0.2">
      <c r="B4558" s="20"/>
    </row>
    <row r="4559" spans="2:2" x14ac:dyDescent="0.2">
      <c r="B4559" s="20"/>
    </row>
    <row r="4560" spans="2:2" x14ac:dyDescent="0.2">
      <c r="B4560" s="20"/>
    </row>
    <row r="4561" spans="2:2" x14ac:dyDescent="0.2">
      <c r="B4561" s="20"/>
    </row>
    <row r="4562" spans="2:2" x14ac:dyDescent="0.2">
      <c r="B4562" s="20"/>
    </row>
    <row r="4563" spans="2:2" x14ac:dyDescent="0.2">
      <c r="B4563" s="20"/>
    </row>
    <row r="4564" spans="2:2" x14ac:dyDescent="0.2">
      <c r="B4564" s="20"/>
    </row>
    <row r="4565" spans="2:2" x14ac:dyDescent="0.2">
      <c r="B4565" s="20"/>
    </row>
    <row r="4566" spans="2:2" x14ac:dyDescent="0.2">
      <c r="B4566" s="20"/>
    </row>
    <row r="4567" spans="2:2" x14ac:dyDescent="0.2">
      <c r="B4567" s="20"/>
    </row>
    <row r="4568" spans="2:2" x14ac:dyDescent="0.2">
      <c r="B4568" s="20"/>
    </row>
    <row r="4569" spans="2:2" x14ac:dyDescent="0.2">
      <c r="B4569" s="20"/>
    </row>
    <row r="4570" spans="2:2" x14ac:dyDescent="0.2">
      <c r="B4570" s="20"/>
    </row>
    <row r="4571" spans="2:2" x14ac:dyDescent="0.2">
      <c r="B4571" s="20"/>
    </row>
    <row r="4572" spans="2:2" x14ac:dyDescent="0.2">
      <c r="B4572" s="20"/>
    </row>
    <row r="4573" spans="2:2" x14ac:dyDescent="0.2">
      <c r="B4573" s="20"/>
    </row>
    <row r="4574" spans="2:2" x14ac:dyDescent="0.2">
      <c r="B4574" s="20"/>
    </row>
    <row r="4575" spans="2:2" x14ac:dyDescent="0.2">
      <c r="B4575" s="20"/>
    </row>
    <row r="4576" spans="2:2" x14ac:dyDescent="0.2">
      <c r="B4576" s="20"/>
    </row>
    <row r="4577" spans="2:2" x14ac:dyDescent="0.2">
      <c r="B4577" s="20"/>
    </row>
    <row r="4578" spans="2:2" x14ac:dyDescent="0.2">
      <c r="B4578" s="20"/>
    </row>
    <row r="4579" spans="2:2" x14ac:dyDescent="0.2">
      <c r="B4579" s="20"/>
    </row>
    <row r="4580" spans="2:2" x14ac:dyDescent="0.2">
      <c r="B4580" s="20"/>
    </row>
    <row r="4581" spans="2:2" x14ac:dyDescent="0.2">
      <c r="B4581" s="20"/>
    </row>
    <row r="4582" spans="2:2" x14ac:dyDescent="0.2">
      <c r="B4582" s="20"/>
    </row>
    <row r="4583" spans="2:2" x14ac:dyDescent="0.2">
      <c r="B4583" s="20"/>
    </row>
    <row r="4584" spans="2:2" x14ac:dyDescent="0.2">
      <c r="B4584" s="20"/>
    </row>
    <row r="4585" spans="2:2" x14ac:dyDescent="0.2">
      <c r="B4585" s="20"/>
    </row>
    <row r="4586" spans="2:2" x14ac:dyDescent="0.2">
      <c r="B4586" s="20"/>
    </row>
    <row r="4587" spans="2:2" x14ac:dyDescent="0.2">
      <c r="B4587" s="20"/>
    </row>
    <row r="4588" spans="2:2" x14ac:dyDescent="0.2">
      <c r="B4588" s="20"/>
    </row>
    <row r="4589" spans="2:2" x14ac:dyDescent="0.2">
      <c r="B4589" s="20"/>
    </row>
    <row r="4590" spans="2:2" x14ac:dyDescent="0.2">
      <c r="B4590" s="20"/>
    </row>
    <row r="4591" spans="2:2" x14ac:dyDescent="0.2">
      <c r="B4591" s="20"/>
    </row>
    <row r="4592" spans="2:2" x14ac:dyDescent="0.2">
      <c r="B4592" s="20"/>
    </row>
    <row r="4593" spans="2:2" x14ac:dyDescent="0.2">
      <c r="B4593" s="20"/>
    </row>
    <row r="4594" spans="2:2" x14ac:dyDescent="0.2">
      <c r="B4594" s="20"/>
    </row>
    <row r="4595" spans="2:2" x14ac:dyDescent="0.2">
      <c r="B4595" s="20"/>
    </row>
    <row r="4596" spans="2:2" x14ac:dyDescent="0.2">
      <c r="B4596" s="20"/>
    </row>
    <row r="4597" spans="2:2" x14ac:dyDescent="0.2">
      <c r="B4597" s="20"/>
    </row>
    <row r="4598" spans="2:2" x14ac:dyDescent="0.2">
      <c r="B4598" s="20"/>
    </row>
    <row r="4599" spans="2:2" x14ac:dyDescent="0.2">
      <c r="B4599" s="20"/>
    </row>
    <row r="4600" spans="2:2" x14ac:dyDescent="0.2">
      <c r="B4600" s="20"/>
    </row>
    <row r="4601" spans="2:2" x14ac:dyDescent="0.2">
      <c r="B4601" s="20"/>
    </row>
    <row r="4602" spans="2:2" x14ac:dyDescent="0.2">
      <c r="B4602" s="20"/>
    </row>
    <row r="4603" spans="2:2" x14ac:dyDescent="0.2">
      <c r="B4603" s="20"/>
    </row>
    <row r="4604" spans="2:2" x14ac:dyDescent="0.2">
      <c r="B4604" s="20"/>
    </row>
    <row r="4605" spans="2:2" x14ac:dyDescent="0.2">
      <c r="B4605" s="20"/>
    </row>
    <row r="4606" spans="2:2" x14ac:dyDescent="0.2">
      <c r="B4606" s="20"/>
    </row>
    <row r="4607" spans="2:2" x14ac:dyDescent="0.2">
      <c r="B4607" s="20"/>
    </row>
    <row r="4608" spans="2:2" x14ac:dyDescent="0.2">
      <c r="B4608" s="20"/>
    </row>
    <row r="4609" spans="2:2" x14ac:dyDescent="0.2">
      <c r="B4609" s="20"/>
    </row>
    <row r="4610" spans="2:2" x14ac:dyDescent="0.2">
      <c r="B4610" s="20"/>
    </row>
    <row r="4611" spans="2:2" x14ac:dyDescent="0.2">
      <c r="B4611" s="20"/>
    </row>
    <row r="4612" spans="2:2" x14ac:dyDescent="0.2">
      <c r="B4612" s="20"/>
    </row>
    <row r="4613" spans="2:2" x14ac:dyDescent="0.2">
      <c r="B4613" s="20"/>
    </row>
    <row r="4614" spans="2:2" x14ac:dyDescent="0.2">
      <c r="B4614" s="20"/>
    </row>
    <row r="4615" spans="2:2" x14ac:dyDescent="0.2">
      <c r="B4615" s="20"/>
    </row>
    <row r="4616" spans="2:2" x14ac:dyDescent="0.2">
      <c r="B4616" s="20"/>
    </row>
    <row r="4617" spans="2:2" x14ac:dyDescent="0.2">
      <c r="B4617" s="20"/>
    </row>
    <row r="4618" spans="2:2" x14ac:dyDescent="0.2">
      <c r="B4618" s="20"/>
    </row>
    <row r="4619" spans="2:2" x14ac:dyDescent="0.2">
      <c r="B4619" s="20"/>
    </row>
    <row r="4620" spans="2:2" x14ac:dyDescent="0.2">
      <c r="B4620" s="20"/>
    </row>
    <row r="4621" spans="2:2" x14ac:dyDescent="0.2">
      <c r="B4621" s="20"/>
    </row>
    <row r="4622" spans="2:2" x14ac:dyDescent="0.2">
      <c r="B4622" s="20"/>
    </row>
    <row r="4623" spans="2:2" x14ac:dyDescent="0.2">
      <c r="B4623" s="20"/>
    </row>
    <row r="4624" spans="2:2" x14ac:dyDescent="0.2">
      <c r="B4624" s="20"/>
    </row>
    <row r="4625" spans="2:2" x14ac:dyDescent="0.2">
      <c r="B4625" s="20"/>
    </row>
    <row r="4626" spans="2:2" x14ac:dyDescent="0.2">
      <c r="B4626" s="20"/>
    </row>
    <row r="4627" spans="2:2" x14ac:dyDescent="0.2">
      <c r="B4627" s="20"/>
    </row>
    <row r="4628" spans="2:2" x14ac:dyDescent="0.2">
      <c r="B4628" s="20"/>
    </row>
    <row r="4629" spans="2:2" x14ac:dyDescent="0.2">
      <c r="B4629" s="20"/>
    </row>
    <row r="4630" spans="2:2" x14ac:dyDescent="0.2">
      <c r="B4630" s="20"/>
    </row>
    <row r="4631" spans="2:2" x14ac:dyDescent="0.2">
      <c r="B4631" s="20"/>
    </row>
    <row r="4632" spans="2:2" x14ac:dyDescent="0.2">
      <c r="B4632" s="20"/>
    </row>
    <row r="4633" spans="2:2" x14ac:dyDescent="0.2">
      <c r="B4633" s="20"/>
    </row>
    <row r="4634" spans="2:2" x14ac:dyDescent="0.2">
      <c r="B4634" s="20"/>
    </row>
    <row r="4635" spans="2:2" x14ac:dyDescent="0.2">
      <c r="B4635" s="20"/>
    </row>
    <row r="4636" spans="2:2" x14ac:dyDescent="0.2">
      <c r="B4636" s="20"/>
    </row>
    <row r="4637" spans="2:2" x14ac:dyDescent="0.2">
      <c r="B4637" s="20"/>
    </row>
    <row r="4638" spans="2:2" x14ac:dyDescent="0.2">
      <c r="B4638" s="20"/>
    </row>
    <row r="4639" spans="2:2" x14ac:dyDescent="0.2">
      <c r="B4639" s="20"/>
    </row>
    <row r="4640" spans="2:2" x14ac:dyDescent="0.2">
      <c r="B4640" s="20"/>
    </row>
    <row r="4641" spans="2:2" x14ac:dyDescent="0.2">
      <c r="B4641" s="20"/>
    </row>
    <row r="4642" spans="2:2" x14ac:dyDescent="0.2">
      <c r="B4642" s="20"/>
    </row>
    <row r="4643" spans="2:2" x14ac:dyDescent="0.2">
      <c r="B4643" s="20"/>
    </row>
    <row r="4644" spans="2:2" x14ac:dyDescent="0.2">
      <c r="B4644" s="20"/>
    </row>
    <row r="4645" spans="2:2" x14ac:dyDescent="0.2">
      <c r="B4645" s="20"/>
    </row>
    <row r="4646" spans="2:2" x14ac:dyDescent="0.2">
      <c r="B4646" s="20"/>
    </row>
    <row r="4647" spans="2:2" x14ac:dyDescent="0.2">
      <c r="B4647" s="20"/>
    </row>
    <row r="4648" spans="2:2" x14ac:dyDescent="0.2">
      <c r="B4648" s="20"/>
    </row>
    <row r="4649" spans="2:2" x14ac:dyDescent="0.2">
      <c r="B4649" s="20"/>
    </row>
    <row r="4650" spans="2:2" x14ac:dyDescent="0.2">
      <c r="B4650" s="20"/>
    </row>
    <row r="4651" spans="2:2" x14ac:dyDescent="0.2">
      <c r="B4651" s="20"/>
    </row>
    <row r="4652" spans="2:2" x14ac:dyDescent="0.2">
      <c r="B4652" s="20"/>
    </row>
    <row r="4653" spans="2:2" x14ac:dyDescent="0.2">
      <c r="B4653" s="20"/>
    </row>
    <row r="4654" spans="2:2" x14ac:dyDescent="0.2">
      <c r="B4654" s="20"/>
    </row>
    <row r="4655" spans="2:2" x14ac:dyDescent="0.2">
      <c r="B4655" s="20"/>
    </row>
    <row r="4656" spans="2:2" x14ac:dyDescent="0.2">
      <c r="B4656" s="20"/>
    </row>
    <row r="4657" spans="2:2" x14ac:dyDescent="0.2">
      <c r="B4657" s="20"/>
    </row>
    <row r="4658" spans="2:2" x14ac:dyDescent="0.2">
      <c r="B4658" s="20"/>
    </row>
    <row r="4659" spans="2:2" x14ac:dyDescent="0.2">
      <c r="B4659" s="20"/>
    </row>
    <row r="4660" spans="2:2" x14ac:dyDescent="0.2">
      <c r="B4660" s="20"/>
    </row>
    <row r="4661" spans="2:2" x14ac:dyDescent="0.2">
      <c r="B4661" s="20"/>
    </row>
    <row r="4662" spans="2:2" x14ac:dyDescent="0.2">
      <c r="B4662" s="20"/>
    </row>
    <row r="4663" spans="2:2" x14ac:dyDescent="0.2">
      <c r="B4663" s="20"/>
    </row>
    <row r="4664" spans="2:2" x14ac:dyDescent="0.2">
      <c r="B4664" s="20"/>
    </row>
    <row r="4665" spans="2:2" x14ac:dyDescent="0.2">
      <c r="B4665" s="20"/>
    </row>
    <row r="4666" spans="2:2" x14ac:dyDescent="0.2">
      <c r="B4666" s="20"/>
    </row>
    <row r="4667" spans="2:2" x14ac:dyDescent="0.2">
      <c r="B4667" s="20"/>
    </row>
    <row r="4668" spans="2:2" x14ac:dyDescent="0.2">
      <c r="B4668" s="20"/>
    </row>
    <row r="4669" spans="2:2" x14ac:dyDescent="0.2">
      <c r="B4669" s="20"/>
    </row>
    <row r="4670" spans="2:2" x14ac:dyDescent="0.2">
      <c r="B4670" s="20"/>
    </row>
    <row r="4671" spans="2:2" x14ac:dyDescent="0.2">
      <c r="B4671" s="20"/>
    </row>
    <row r="4672" spans="2:2" x14ac:dyDescent="0.2">
      <c r="B4672" s="20"/>
    </row>
    <row r="4673" spans="2:2" x14ac:dyDescent="0.2">
      <c r="B4673" s="20"/>
    </row>
    <row r="4674" spans="2:2" x14ac:dyDescent="0.2">
      <c r="B4674" s="20"/>
    </row>
    <row r="4675" spans="2:2" x14ac:dyDescent="0.2">
      <c r="B4675" s="20"/>
    </row>
    <row r="4676" spans="2:2" x14ac:dyDescent="0.2">
      <c r="B4676" s="20"/>
    </row>
    <row r="4677" spans="2:2" x14ac:dyDescent="0.2">
      <c r="B4677" s="20"/>
    </row>
    <row r="4678" spans="2:2" x14ac:dyDescent="0.2">
      <c r="B4678" s="20"/>
    </row>
    <row r="4679" spans="2:2" x14ac:dyDescent="0.2">
      <c r="B4679" s="20"/>
    </row>
    <row r="4680" spans="2:2" x14ac:dyDescent="0.2">
      <c r="B4680" s="20"/>
    </row>
    <row r="4681" spans="2:2" x14ac:dyDescent="0.2">
      <c r="B4681" s="20"/>
    </row>
    <row r="4682" spans="2:2" x14ac:dyDescent="0.2">
      <c r="B4682" s="20"/>
    </row>
    <row r="4683" spans="2:2" x14ac:dyDescent="0.2">
      <c r="B4683" s="20"/>
    </row>
    <row r="4684" spans="2:2" x14ac:dyDescent="0.2">
      <c r="B4684" s="20"/>
    </row>
    <row r="4685" spans="2:2" x14ac:dyDescent="0.2">
      <c r="B4685" s="20"/>
    </row>
    <row r="4686" spans="2:2" x14ac:dyDescent="0.2">
      <c r="B4686" s="20"/>
    </row>
    <row r="4687" spans="2:2" x14ac:dyDescent="0.2">
      <c r="B4687" s="20"/>
    </row>
    <row r="4688" spans="2:2" x14ac:dyDescent="0.2">
      <c r="B4688" s="20"/>
    </row>
    <row r="4689" spans="2:2" x14ac:dyDescent="0.2">
      <c r="B4689" s="20"/>
    </row>
    <row r="4690" spans="2:2" x14ac:dyDescent="0.2">
      <c r="B4690" s="20"/>
    </row>
    <row r="4691" spans="2:2" x14ac:dyDescent="0.2">
      <c r="B4691" s="20"/>
    </row>
    <row r="4692" spans="2:2" x14ac:dyDescent="0.2">
      <c r="B4692" s="20"/>
    </row>
    <row r="4693" spans="2:2" x14ac:dyDescent="0.2">
      <c r="B4693" s="20"/>
    </row>
    <row r="4694" spans="2:2" x14ac:dyDescent="0.2">
      <c r="B4694" s="20"/>
    </row>
    <row r="4695" spans="2:2" x14ac:dyDescent="0.2">
      <c r="B4695" s="20"/>
    </row>
    <row r="4696" spans="2:2" x14ac:dyDescent="0.2">
      <c r="B4696" s="20"/>
    </row>
    <row r="4697" spans="2:2" x14ac:dyDescent="0.2">
      <c r="B4697" s="20"/>
    </row>
    <row r="4698" spans="2:2" x14ac:dyDescent="0.2">
      <c r="B4698" s="20"/>
    </row>
    <row r="4699" spans="2:2" x14ac:dyDescent="0.2">
      <c r="B4699" s="20"/>
    </row>
    <row r="4700" spans="2:2" x14ac:dyDescent="0.2">
      <c r="B4700" s="20"/>
    </row>
    <row r="4701" spans="2:2" x14ac:dyDescent="0.2">
      <c r="B4701" s="20"/>
    </row>
    <row r="4702" spans="2:2" x14ac:dyDescent="0.2">
      <c r="B4702" s="20"/>
    </row>
    <row r="4703" spans="2:2" x14ac:dyDescent="0.2">
      <c r="B4703" s="20"/>
    </row>
    <row r="4704" spans="2:2" x14ac:dyDescent="0.2">
      <c r="B4704" s="20"/>
    </row>
    <row r="4705" spans="2:2" x14ac:dyDescent="0.2">
      <c r="B4705" s="20"/>
    </row>
    <row r="4706" spans="2:2" x14ac:dyDescent="0.2">
      <c r="B4706" s="20"/>
    </row>
    <row r="4707" spans="2:2" x14ac:dyDescent="0.2">
      <c r="B4707" s="20"/>
    </row>
  </sheetData>
  <mergeCells count="16"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55"/>
  <sheetViews>
    <sheetView topLeftCell="A31" workbookViewId="0">
      <selection activeCell="Q23" sqref="Q23:R53"/>
    </sheetView>
  </sheetViews>
  <sheetFormatPr defaultRowHeight="12.75" x14ac:dyDescent="0.2"/>
  <cols>
    <col min="1" max="1" width="8" bestFit="1" customWidth="1"/>
    <col min="2" max="6" width="10.42578125" bestFit="1" customWidth="1"/>
    <col min="7" max="7" width="10.28515625" bestFit="1" customWidth="1"/>
    <col min="8" max="8" width="1.140625" customWidth="1"/>
    <col min="9" max="14" width="10.7109375" bestFit="1" customWidth="1"/>
    <col min="15" max="15" width="29.28515625" bestFit="1" customWidth="1"/>
    <col min="16" max="16" width="0.5703125" customWidth="1"/>
    <col min="17" max="21" width="9.5703125" bestFit="1" customWidth="1"/>
    <col min="22" max="22" width="10.28515625" bestFit="1" customWidth="1"/>
    <col min="23" max="23" width="29.28515625" bestFit="1" customWidth="1"/>
    <col min="24" max="24" width="7.28515625" bestFit="1" customWidth="1"/>
  </cols>
  <sheetData>
    <row r="1" spans="1:23" x14ac:dyDescent="0.2">
      <c r="A1" t="s">
        <v>249</v>
      </c>
      <c r="B1" t="s">
        <v>250</v>
      </c>
      <c r="C1" t="s">
        <v>251</v>
      </c>
      <c r="D1" t="s">
        <v>252</v>
      </c>
      <c r="E1" t="s">
        <v>253</v>
      </c>
      <c r="F1" t="s">
        <v>254</v>
      </c>
      <c r="G1" t="s">
        <v>255</v>
      </c>
      <c r="I1" t="s">
        <v>250</v>
      </c>
      <c r="J1" t="s">
        <v>251</v>
      </c>
      <c r="K1" t="s">
        <v>252</v>
      </c>
      <c r="L1" t="s">
        <v>253</v>
      </c>
      <c r="M1" t="s">
        <v>254</v>
      </c>
      <c r="N1" t="s">
        <v>255</v>
      </c>
      <c r="O1" t="s">
        <v>256</v>
      </c>
      <c r="Q1" t="s">
        <v>250</v>
      </c>
      <c r="R1" t="s">
        <v>251</v>
      </c>
      <c r="S1" t="s">
        <v>252</v>
      </c>
      <c r="T1" t="s">
        <v>253</v>
      </c>
      <c r="U1" t="s">
        <v>254</v>
      </c>
      <c r="V1" t="s">
        <v>255</v>
      </c>
      <c r="W1" t="s">
        <v>256</v>
      </c>
    </row>
    <row r="2" spans="1:23" x14ac:dyDescent="0.2">
      <c r="A2">
        <v>1</v>
      </c>
      <c r="B2" s="169">
        <v>80395</v>
      </c>
      <c r="C2" s="169">
        <v>12348</v>
      </c>
      <c r="D2" s="169">
        <v>13373</v>
      </c>
      <c r="E2" s="169">
        <v>25280</v>
      </c>
      <c r="F2" s="169">
        <v>1991</v>
      </c>
      <c r="G2" s="169">
        <f>'Vorige - Prev Weekliks-Weekly'!T9</f>
        <v>58015</v>
      </c>
      <c r="I2" s="169">
        <f t="shared" ref="I2:N2" si="0">B2</f>
        <v>80395</v>
      </c>
      <c r="J2" s="169">
        <f t="shared" si="0"/>
        <v>12348</v>
      </c>
      <c r="K2" s="169">
        <f t="shared" si="0"/>
        <v>13373</v>
      </c>
      <c r="L2" s="169">
        <f t="shared" si="0"/>
        <v>25280</v>
      </c>
      <c r="M2" s="169">
        <f t="shared" si="0"/>
        <v>1991</v>
      </c>
      <c r="N2" s="169">
        <f t="shared" si="0"/>
        <v>58015</v>
      </c>
      <c r="O2" s="170">
        <f>AVERAGE(I2:M2)</f>
        <v>26677.4</v>
      </c>
      <c r="Q2" s="171">
        <f t="shared" ref="Q2:Q18" si="1">I2/I$55</f>
        <v>3.2871226729076816E-2</v>
      </c>
      <c r="R2" s="171">
        <f t="shared" ref="R2:W17" si="2">J2/J$55</f>
        <v>6.0062367969071868E-3</v>
      </c>
      <c r="S2" s="171">
        <f t="shared" si="2"/>
        <v>5.8427129271934964E-3</v>
      </c>
      <c r="T2" s="171">
        <f t="shared" si="2"/>
        <v>1.2209811704225039E-2</v>
      </c>
      <c r="U2" s="171">
        <f t="shared" si="2"/>
        <v>7.8349859867478161E-4</v>
      </c>
      <c r="V2" s="171">
        <f t="shared" si="2"/>
        <v>2.3206000000000001E-2</v>
      </c>
      <c r="W2" s="171">
        <f t="shared" si="2"/>
        <v>1.1698474445682523E-2</v>
      </c>
    </row>
    <row r="3" spans="1:23" x14ac:dyDescent="0.2">
      <c r="A3">
        <v>2</v>
      </c>
      <c r="B3" s="169">
        <v>59425</v>
      </c>
      <c r="C3" s="169">
        <v>19225</v>
      </c>
      <c r="D3" s="169">
        <v>11647</v>
      </c>
      <c r="E3" s="169">
        <v>15239</v>
      </c>
      <c r="F3" s="169">
        <v>22957</v>
      </c>
      <c r="G3" s="169">
        <f>'Vorige - Prev Weekliks-Weekly'!T10</f>
        <v>67695</v>
      </c>
      <c r="I3" s="169">
        <f>I2+B3</f>
        <v>139820</v>
      </c>
      <c r="J3" s="169">
        <f t="shared" ref="J3:N18" si="3">J2+C3</f>
        <v>31573</v>
      </c>
      <c r="K3" s="169">
        <f t="shared" si="3"/>
        <v>25020</v>
      </c>
      <c r="L3" s="169">
        <f t="shared" si="3"/>
        <v>40519</v>
      </c>
      <c r="M3" s="169">
        <f>M2+F3</f>
        <v>24948</v>
      </c>
      <c r="N3" s="169">
        <f>N2+G3</f>
        <v>125710</v>
      </c>
      <c r="O3" s="170">
        <f t="shared" ref="O3:O10" si="4">AVERAGE(I3:M3)</f>
        <v>52376</v>
      </c>
      <c r="Q3" s="171">
        <f t="shared" si="1"/>
        <v>5.7168417454562109E-2</v>
      </c>
      <c r="R3" s="171">
        <f t="shared" si="2"/>
        <v>1.5357540847809411E-2</v>
      </c>
      <c r="S3" s="171">
        <f t="shared" si="2"/>
        <v>1.0931330100828631E-2</v>
      </c>
      <c r="T3" s="171">
        <f t="shared" si="2"/>
        <v>1.9569990523872403E-2</v>
      </c>
      <c r="U3" s="171">
        <f t="shared" si="2"/>
        <v>9.8175404519027874E-3</v>
      </c>
      <c r="V3" s="171">
        <f t="shared" si="2"/>
        <v>5.0284000000000002E-2</v>
      </c>
      <c r="W3" s="171">
        <f t="shared" si="2"/>
        <v>2.2967729147783059E-2</v>
      </c>
    </row>
    <row r="4" spans="1:23" x14ac:dyDescent="0.2">
      <c r="A4">
        <v>3</v>
      </c>
      <c r="B4" s="169">
        <v>91522</v>
      </c>
      <c r="C4" s="169">
        <v>59935</v>
      </c>
      <c r="D4" s="169">
        <v>9954</v>
      </c>
      <c r="E4" s="169">
        <v>65020</v>
      </c>
      <c r="F4" s="169">
        <v>26383</v>
      </c>
      <c r="G4" s="169">
        <f>'Vorige - Prev Weekliks-Weekly'!T11</f>
        <v>46441</v>
      </c>
      <c r="I4" s="169">
        <f t="shared" ref="I4:I10" si="5">I3+B4</f>
        <v>231342</v>
      </c>
      <c r="J4" s="169">
        <f t="shared" si="3"/>
        <v>91508</v>
      </c>
      <c r="K4" s="169">
        <f t="shared" si="3"/>
        <v>34974</v>
      </c>
      <c r="L4" s="169">
        <f t="shared" si="3"/>
        <v>105539</v>
      </c>
      <c r="M4" s="169">
        <f t="shared" si="3"/>
        <v>51331</v>
      </c>
      <c r="N4" s="169">
        <f t="shared" si="3"/>
        <v>172151</v>
      </c>
      <c r="O4" s="170">
        <f t="shared" si="4"/>
        <v>102938.8</v>
      </c>
      <c r="Q4" s="171">
        <f t="shared" si="1"/>
        <v>9.4589157708291419E-2</v>
      </c>
      <c r="R4" s="171">
        <f t="shared" si="2"/>
        <v>4.4510748041090287E-2</v>
      </c>
      <c r="S4" s="171">
        <f t="shared" si="2"/>
        <v>1.5280269342381317E-2</v>
      </c>
      <c r="T4" s="171">
        <f t="shared" si="2"/>
        <v>5.0973548949849935E-2</v>
      </c>
      <c r="U4" s="171">
        <f t="shared" si="2"/>
        <v>2.0199782304658569E-2</v>
      </c>
      <c r="V4" s="171">
        <f t="shared" si="2"/>
        <v>6.8860400000000002E-2</v>
      </c>
      <c r="W4" s="171">
        <f t="shared" si="2"/>
        <v>4.5140340560520291E-2</v>
      </c>
    </row>
    <row r="5" spans="1:23" ht="13.9" customHeight="1" x14ac:dyDescent="0.2">
      <c r="A5">
        <v>4</v>
      </c>
      <c r="B5" s="169">
        <v>35394</v>
      </c>
      <c r="C5" s="169">
        <v>47615</v>
      </c>
      <c r="D5" s="169">
        <v>13895</v>
      </c>
      <c r="E5" s="169">
        <v>82788</v>
      </c>
      <c r="F5" s="169">
        <v>30474</v>
      </c>
      <c r="G5" s="169">
        <f>'Vorige - Prev Weekliks-Weekly'!T12</f>
        <v>115076</v>
      </c>
      <c r="I5" s="169">
        <f t="shared" si="5"/>
        <v>266736</v>
      </c>
      <c r="J5" s="169">
        <f t="shared" si="3"/>
        <v>139123</v>
      </c>
      <c r="K5" s="169">
        <f t="shared" si="3"/>
        <v>48869</v>
      </c>
      <c r="L5" s="169">
        <f t="shared" si="3"/>
        <v>188327</v>
      </c>
      <c r="M5" s="169">
        <f t="shared" si="3"/>
        <v>81805</v>
      </c>
      <c r="N5" s="169">
        <f t="shared" si="3"/>
        <v>287227</v>
      </c>
      <c r="O5" s="170">
        <f t="shared" si="4"/>
        <v>144972</v>
      </c>
      <c r="Q5" s="171">
        <f t="shared" si="1"/>
        <v>0.10906075667401</v>
      </c>
      <c r="R5" s="171">
        <f t="shared" si="2"/>
        <v>6.7671338022037467E-2</v>
      </c>
      <c r="S5" s="171">
        <f t="shared" si="2"/>
        <v>2.1351045991102893E-2</v>
      </c>
      <c r="T5" s="171">
        <f t="shared" si="2"/>
        <v>9.0958750348955258E-2</v>
      </c>
      <c r="U5" s="171">
        <f t="shared" si="2"/>
        <v>3.2191915050020344E-2</v>
      </c>
      <c r="V5" s="171">
        <f t="shared" si="2"/>
        <v>0.1148908</v>
      </c>
      <c r="W5" s="171">
        <f t="shared" si="2"/>
        <v>6.3572583435397997E-2</v>
      </c>
    </row>
    <row r="6" spans="1:23" x14ac:dyDescent="0.2">
      <c r="A6">
        <v>5</v>
      </c>
      <c r="B6" s="169">
        <v>40154</v>
      </c>
      <c r="C6" s="169">
        <v>94731</v>
      </c>
      <c r="D6" s="169">
        <v>30810</v>
      </c>
      <c r="E6" s="169">
        <v>101589</v>
      </c>
      <c r="F6" s="169">
        <v>79198</v>
      </c>
      <c r="G6" s="169">
        <f>'Vorige - Prev Weekliks-Weekly'!T13</f>
        <v>52607</v>
      </c>
      <c r="I6" s="169">
        <f t="shared" si="5"/>
        <v>306890</v>
      </c>
      <c r="J6" s="169">
        <f t="shared" si="3"/>
        <v>233854</v>
      </c>
      <c r="K6" s="169">
        <f t="shared" si="3"/>
        <v>79679</v>
      </c>
      <c r="L6" s="169">
        <f t="shared" si="3"/>
        <v>289916</v>
      </c>
      <c r="M6" s="169">
        <f t="shared" si="3"/>
        <v>161003</v>
      </c>
      <c r="N6" s="169">
        <f t="shared" si="3"/>
        <v>339834</v>
      </c>
      <c r="O6" s="170">
        <f t="shared" si="4"/>
        <v>214268.4</v>
      </c>
      <c r="Q6" s="171">
        <f t="shared" si="1"/>
        <v>0.12547858412695298</v>
      </c>
      <c r="R6" s="171">
        <f t="shared" si="2"/>
        <v>0.1137497975302829</v>
      </c>
      <c r="S6" s="171">
        <f t="shared" si="2"/>
        <v>3.4812048405432637E-2</v>
      </c>
      <c r="T6" s="171">
        <f t="shared" si="2"/>
        <v>0.14002451622002005</v>
      </c>
      <c r="U6" s="171">
        <f t="shared" si="2"/>
        <v>6.3357923095146082E-2</v>
      </c>
      <c r="V6" s="171">
        <f t="shared" si="2"/>
        <v>0.13593359999999999</v>
      </c>
      <c r="W6" s="171">
        <f t="shared" si="2"/>
        <v>9.3960183597999833E-2</v>
      </c>
    </row>
    <row r="7" spans="1:23" x14ac:dyDescent="0.2">
      <c r="A7">
        <v>6</v>
      </c>
      <c r="B7" s="169">
        <v>37596</v>
      </c>
      <c r="C7" s="169">
        <v>67834</v>
      </c>
      <c r="D7" s="169">
        <v>73548</v>
      </c>
      <c r="E7" s="169">
        <v>28080</v>
      </c>
      <c r="F7" s="169">
        <v>61090</v>
      </c>
      <c r="G7" s="169">
        <f>'Vorige - Prev Weekliks-Weekly'!T14</f>
        <v>132759</v>
      </c>
      <c r="I7" s="169">
        <f t="shared" si="5"/>
        <v>344486</v>
      </c>
      <c r="J7" s="169">
        <f t="shared" si="3"/>
        <v>301688</v>
      </c>
      <c r="K7" s="169">
        <f t="shared" si="3"/>
        <v>153227</v>
      </c>
      <c r="L7" s="169">
        <f t="shared" si="3"/>
        <v>317996</v>
      </c>
      <c r="M7" s="169">
        <f t="shared" si="3"/>
        <v>222093</v>
      </c>
      <c r="N7" s="169">
        <f t="shared" si="3"/>
        <v>472593</v>
      </c>
      <c r="O7" s="170">
        <f t="shared" si="4"/>
        <v>267898</v>
      </c>
      <c r="Q7" s="171">
        <f t="shared" si="1"/>
        <v>0.14085051820377831</v>
      </c>
      <c r="R7" s="171">
        <f t="shared" si="2"/>
        <v>0.14674518681449103</v>
      </c>
      <c r="S7" s="171">
        <f t="shared" si="2"/>
        <v>6.6945440342113055E-2</v>
      </c>
      <c r="T7" s="171">
        <f t="shared" si="2"/>
        <v>0.15358668048642191</v>
      </c>
      <c r="U7" s="171">
        <f t="shared" si="2"/>
        <v>8.7398068445744978E-2</v>
      </c>
      <c r="V7" s="171">
        <f t="shared" si="2"/>
        <v>0.18903719999999999</v>
      </c>
      <c r="W7" s="171">
        <f t="shared" si="2"/>
        <v>0.11747763676555648</v>
      </c>
    </row>
    <row r="8" spans="1:23" x14ac:dyDescent="0.2">
      <c r="A8">
        <v>7</v>
      </c>
      <c r="B8" s="169">
        <v>41963</v>
      </c>
      <c r="C8" s="169">
        <v>43331</v>
      </c>
      <c r="D8" s="169">
        <v>63938</v>
      </c>
      <c r="E8" s="169">
        <v>86196</v>
      </c>
      <c r="F8" s="169">
        <v>95227</v>
      </c>
      <c r="G8" s="169">
        <f>'Vorige - Prev Weekliks-Weekly'!T15</f>
        <v>99082</v>
      </c>
      <c r="I8" s="169">
        <f t="shared" si="5"/>
        <v>386449</v>
      </c>
      <c r="J8" s="169">
        <f t="shared" si="3"/>
        <v>345019</v>
      </c>
      <c r="K8" s="169">
        <f t="shared" si="3"/>
        <v>217165</v>
      </c>
      <c r="L8" s="169">
        <f t="shared" si="3"/>
        <v>404192</v>
      </c>
      <c r="M8" s="169">
        <f t="shared" si="3"/>
        <v>317320</v>
      </c>
      <c r="N8" s="169">
        <f t="shared" si="3"/>
        <v>571675</v>
      </c>
      <c r="O8" s="170">
        <f t="shared" si="4"/>
        <v>334029</v>
      </c>
      <c r="Q8" s="171">
        <f t="shared" si="1"/>
        <v>0.15800799425617273</v>
      </c>
      <c r="R8" s="171">
        <f t="shared" si="2"/>
        <v>0.1678219803556949</v>
      </c>
      <c r="S8" s="171">
        <f t="shared" si="2"/>
        <v>9.4880187903535168E-2</v>
      </c>
      <c r="T8" s="171">
        <f t="shared" si="2"/>
        <v>0.19521788814691959</v>
      </c>
      <c r="U8" s="171">
        <f t="shared" si="2"/>
        <v>0.12487181081440567</v>
      </c>
      <c r="V8" s="171">
        <f t="shared" si="2"/>
        <v>0.22867000000000001</v>
      </c>
      <c r="W8" s="171">
        <f t="shared" si="2"/>
        <v>0.14647715746725271</v>
      </c>
    </row>
    <row r="9" spans="1:23" x14ac:dyDescent="0.2">
      <c r="A9">
        <v>8</v>
      </c>
      <c r="B9" s="169">
        <v>99446</v>
      </c>
      <c r="C9" s="169">
        <v>58395</v>
      </c>
      <c r="D9" s="169">
        <v>87337</v>
      </c>
      <c r="E9" s="169">
        <v>75157</v>
      </c>
      <c r="F9" s="169">
        <v>72315</v>
      </c>
      <c r="G9" s="169">
        <f>'Vorige - Prev Weekliks-Weekly'!T16</f>
        <v>141249</v>
      </c>
      <c r="I9" s="169">
        <f t="shared" si="5"/>
        <v>485895</v>
      </c>
      <c r="J9" s="169">
        <f t="shared" si="3"/>
        <v>403414</v>
      </c>
      <c r="K9" s="169">
        <f t="shared" si="3"/>
        <v>304502</v>
      </c>
      <c r="L9" s="169">
        <f t="shared" si="3"/>
        <v>479349</v>
      </c>
      <c r="M9" s="169">
        <f t="shared" si="3"/>
        <v>389635</v>
      </c>
      <c r="N9" s="169">
        <f>N8+G9</f>
        <v>712924</v>
      </c>
      <c r="O9" s="170">
        <f t="shared" si="4"/>
        <v>412559</v>
      </c>
      <c r="Q9" s="171">
        <f t="shared" si="1"/>
        <v>0.19866863252098738</v>
      </c>
      <c r="R9" s="171">
        <f t="shared" si="2"/>
        <v>0.19622611039743407</v>
      </c>
      <c r="S9" s="171">
        <f t="shared" si="2"/>
        <v>0.13303804469874181</v>
      </c>
      <c r="T9" s="171">
        <f t="shared" si="2"/>
        <v>0.23151744583103515</v>
      </c>
      <c r="U9" s="171">
        <f t="shared" si="2"/>
        <v>0.15332921973613686</v>
      </c>
      <c r="V9" s="171">
        <f t="shared" si="2"/>
        <v>0.28516960000000002</v>
      </c>
      <c r="W9" s="171">
        <f t="shared" si="2"/>
        <v>0.18091384163510446</v>
      </c>
    </row>
    <row r="10" spans="1:23" x14ac:dyDescent="0.2">
      <c r="A10">
        <v>9</v>
      </c>
      <c r="B10" s="169">
        <v>14206</v>
      </c>
      <c r="C10" s="169">
        <v>119520</v>
      </c>
      <c r="D10" s="169">
        <v>121915</v>
      </c>
      <c r="E10" s="169">
        <v>67688</v>
      </c>
      <c r="F10" s="169">
        <v>129626</v>
      </c>
      <c r="G10" s="169">
        <f>'Vorige - Prev Weekliks-Weekly'!T17</f>
        <v>70542</v>
      </c>
      <c r="I10" s="169">
        <f t="shared" si="5"/>
        <v>500101</v>
      </c>
      <c r="J10" s="169">
        <f t="shared" si="3"/>
        <v>522934</v>
      </c>
      <c r="K10" s="169">
        <f t="shared" si="3"/>
        <v>426417</v>
      </c>
      <c r="L10" s="169">
        <f t="shared" si="3"/>
        <v>547037</v>
      </c>
      <c r="M10" s="169">
        <f t="shared" si="3"/>
        <v>519261</v>
      </c>
      <c r="N10" s="169">
        <f t="shared" si="3"/>
        <v>783466</v>
      </c>
      <c r="O10" s="170">
        <f t="shared" si="4"/>
        <v>503150</v>
      </c>
      <c r="Q10" s="171">
        <f t="shared" si="1"/>
        <v>0.20447706148937178</v>
      </c>
      <c r="R10" s="171">
        <f t="shared" si="2"/>
        <v>0.25436227997682725</v>
      </c>
      <c r="S10" s="171">
        <f t="shared" si="2"/>
        <v>0.18630315697861879</v>
      </c>
      <c r="T10" s="171">
        <f t="shared" si="2"/>
        <v>0.26420960305554403</v>
      </c>
      <c r="U10" s="171">
        <f t="shared" si="2"/>
        <v>0.20433966139953078</v>
      </c>
      <c r="V10" s="171">
        <f t="shared" si="2"/>
        <v>0.31338640000000001</v>
      </c>
      <c r="W10" s="171">
        <f t="shared" si="2"/>
        <v>0.22063947076346124</v>
      </c>
    </row>
    <row r="11" spans="1:23" x14ac:dyDescent="0.2">
      <c r="A11">
        <v>10</v>
      </c>
      <c r="B11" s="169">
        <v>35168</v>
      </c>
      <c r="C11" s="169">
        <v>94543</v>
      </c>
      <c r="D11" s="169">
        <v>32190</v>
      </c>
      <c r="E11" s="169">
        <v>122370</v>
      </c>
      <c r="F11" s="169">
        <v>130113</v>
      </c>
      <c r="G11" s="169">
        <f>'Vorige - Prev Weekliks-Weekly'!T18</f>
        <v>124769</v>
      </c>
      <c r="I11" s="169">
        <f>I10+B11</f>
        <v>535269</v>
      </c>
      <c r="J11" s="169">
        <f t="shared" si="3"/>
        <v>617477</v>
      </c>
      <c r="K11" s="169">
        <f t="shared" si="3"/>
        <v>458607</v>
      </c>
      <c r="L11" s="169">
        <f t="shared" si="3"/>
        <v>669407</v>
      </c>
      <c r="M11" s="169">
        <f t="shared" si="3"/>
        <v>649374</v>
      </c>
      <c r="N11" s="169">
        <f t="shared" si="3"/>
        <v>908235</v>
      </c>
      <c r="O11" s="170">
        <f>AVERAGE(I11:M11)</f>
        <v>586026.80000000005</v>
      </c>
      <c r="Q11" s="171">
        <f t="shared" si="1"/>
        <v>0.21885625548910032</v>
      </c>
      <c r="R11" s="171">
        <f t="shared" si="2"/>
        <v>0.30034929370293645</v>
      </c>
      <c r="S11" s="171">
        <f t="shared" si="2"/>
        <v>0.20036708647285037</v>
      </c>
      <c r="T11" s="171">
        <f t="shared" si="2"/>
        <v>0.32331223985325042</v>
      </c>
      <c r="U11" s="171">
        <f t="shared" si="2"/>
        <v>0.2555417473710887</v>
      </c>
      <c r="V11" s="171">
        <f t="shared" si="2"/>
        <v>0.36329400000000001</v>
      </c>
      <c r="W11" s="171">
        <f>O11/O$55</f>
        <v>0.25698229753593316</v>
      </c>
    </row>
    <row r="12" spans="1:23" x14ac:dyDescent="0.2">
      <c r="A12">
        <v>11</v>
      </c>
      <c r="B12" s="169">
        <v>110055</v>
      </c>
      <c r="C12" s="169">
        <v>92137</v>
      </c>
      <c r="D12" s="169">
        <v>82559</v>
      </c>
      <c r="E12" s="169">
        <v>95033</v>
      </c>
      <c r="F12" s="169">
        <v>99709</v>
      </c>
      <c r="G12" s="169">
        <f>'Vorige - Prev Weekliks-Weekly'!T19</f>
        <v>84664</v>
      </c>
      <c r="I12" s="169">
        <f>I11+B12</f>
        <v>645324</v>
      </c>
      <c r="J12" s="169">
        <f t="shared" si="3"/>
        <v>709614</v>
      </c>
      <c r="K12" s="169">
        <f t="shared" si="3"/>
        <v>541166</v>
      </c>
      <c r="L12" s="169">
        <f t="shared" si="3"/>
        <v>764440</v>
      </c>
      <c r="M12" s="169">
        <f t="shared" si="3"/>
        <v>749083</v>
      </c>
      <c r="N12" s="169">
        <f t="shared" si="3"/>
        <v>992899</v>
      </c>
      <c r="O12" s="170">
        <f>AVERAGE(I12:M12)</f>
        <v>681925.4</v>
      </c>
      <c r="Q12" s="171">
        <f t="shared" si="1"/>
        <v>0.26385461182554598</v>
      </c>
      <c r="R12" s="171">
        <f t="shared" si="2"/>
        <v>0.34516599598319536</v>
      </c>
      <c r="S12" s="171">
        <f t="shared" si="2"/>
        <v>0.23643741747981722</v>
      </c>
      <c r="T12" s="171">
        <f t="shared" si="2"/>
        <v>0.36921156879658973</v>
      </c>
      <c r="U12" s="171">
        <f t="shared" si="2"/>
        <v>0.29477924700708258</v>
      </c>
      <c r="V12" s="171">
        <f t="shared" si="2"/>
        <v>0.3971596</v>
      </c>
      <c r="W12" s="171">
        <f t="shared" si="2"/>
        <v>0.29903539571929172</v>
      </c>
    </row>
    <row r="13" spans="1:23" x14ac:dyDescent="0.2">
      <c r="A13">
        <v>12</v>
      </c>
      <c r="B13" s="169">
        <v>59186</v>
      </c>
      <c r="C13" s="169">
        <v>21424</v>
      </c>
      <c r="D13" s="169">
        <v>152398</v>
      </c>
      <c r="E13" s="169">
        <v>74115</v>
      </c>
      <c r="F13" s="169">
        <v>116756</v>
      </c>
      <c r="G13" s="169">
        <f>'Vorige - Prev Weekliks-Weekly'!T20</f>
        <v>130019</v>
      </c>
      <c r="I13" s="169">
        <f>I12+B13</f>
        <v>704510</v>
      </c>
      <c r="J13" s="169">
        <f t="shared" si="3"/>
        <v>731038</v>
      </c>
      <c r="K13" s="169">
        <f t="shared" si="3"/>
        <v>693564</v>
      </c>
      <c r="L13" s="169">
        <f t="shared" si="3"/>
        <v>838555</v>
      </c>
      <c r="M13" s="169">
        <f t="shared" si="3"/>
        <v>865839</v>
      </c>
      <c r="N13" s="169">
        <f t="shared" si="3"/>
        <v>1122918</v>
      </c>
      <c r="O13" s="170">
        <f>AVERAGE(I13:M13)</f>
        <v>766701.2</v>
      </c>
      <c r="Q13" s="171">
        <f t="shared" si="1"/>
        <v>0.28805408225513912</v>
      </c>
      <c r="R13" s="171">
        <f t="shared" si="2"/>
        <v>0.35558692383685098</v>
      </c>
      <c r="S13" s="171">
        <f t="shared" si="2"/>
        <v>0.30302066467030814</v>
      </c>
      <c r="T13" s="171">
        <f t="shared" si="2"/>
        <v>0.40500785813435236</v>
      </c>
      <c r="U13" s="171">
        <f t="shared" si="2"/>
        <v>0.34072508446909805</v>
      </c>
      <c r="V13" s="171">
        <f t="shared" si="2"/>
        <v>0.44916719999999999</v>
      </c>
      <c r="W13" s="171">
        <f t="shared" si="2"/>
        <v>0.33621096492439756</v>
      </c>
    </row>
    <row r="14" spans="1:23" x14ac:dyDescent="0.2">
      <c r="A14">
        <v>13</v>
      </c>
      <c r="B14" s="169">
        <v>89518</v>
      </c>
      <c r="C14" s="169">
        <v>141714</v>
      </c>
      <c r="D14" s="169">
        <v>114071</v>
      </c>
      <c r="E14" s="169">
        <v>131989</v>
      </c>
      <c r="F14" s="169">
        <v>121188</v>
      </c>
      <c r="G14" s="169">
        <f>'Vorige - Prev Weekliks-Weekly'!T21</f>
        <v>100232</v>
      </c>
      <c r="I14" s="169">
        <f>I13+B14</f>
        <v>794028</v>
      </c>
      <c r="J14" s="169">
        <f t="shared" si="3"/>
        <v>872752</v>
      </c>
      <c r="K14" s="169">
        <f t="shared" si="3"/>
        <v>807635</v>
      </c>
      <c r="L14" s="169">
        <f t="shared" si="3"/>
        <v>970544</v>
      </c>
      <c r="M14" s="169">
        <f t="shared" si="3"/>
        <v>987027</v>
      </c>
      <c r="N14" s="169">
        <f>N13+G14</f>
        <v>1223150</v>
      </c>
      <c r="O14" s="170">
        <f>AVERAGE(I14:M14)</f>
        <v>886397.2</v>
      </c>
      <c r="Q14" s="171">
        <f t="shared" si="1"/>
        <v>0.32465544396088569</v>
      </c>
      <c r="R14" s="171">
        <f t="shared" si="2"/>
        <v>0.42451855984567066</v>
      </c>
      <c r="S14" s="171">
        <f t="shared" si="2"/>
        <v>0.3528587044757287</v>
      </c>
      <c r="T14" s="171">
        <f t="shared" si="2"/>
        <v>0.46875630896619408</v>
      </c>
      <c r="U14" s="171">
        <f t="shared" si="2"/>
        <v>0.38841500319144834</v>
      </c>
      <c r="V14" s="171">
        <f t="shared" si="2"/>
        <v>0.48925999999999997</v>
      </c>
      <c r="W14" s="171">
        <f t="shared" si="2"/>
        <v>0.38869961064138708</v>
      </c>
    </row>
    <row r="15" spans="1:23" x14ac:dyDescent="0.2">
      <c r="A15">
        <v>14</v>
      </c>
      <c r="B15" s="169">
        <v>77359</v>
      </c>
      <c r="C15" s="169">
        <v>38305</v>
      </c>
      <c r="D15" s="169">
        <v>63722</v>
      </c>
      <c r="E15" s="169">
        <v>64647</v>
      </c>
      <c r="F15" s="169">
        <v>71158</v>
      </c>
      <c r="G15" s="169">
        <f>'Vorige - Prev Weekliks-Weekly'!T22</f>
        <v>40642</v>
      </c>
      <c r="I15" s="169">
        <f t="shared" ref="I15:N26" si="6">I14+B15</f>
        <v>871387</v>
      </c>
      <c r="J15" s="169">
        <f t="shared" si="3"/>
        <v>911057</v>
      </c>
      <c r="K15" s="169">
        <f t="shared" si="3"/>
        <v>871357</v>
      </c>
      <c r="L15" s="169">
        <f t="shared" si="3"/>
        <v>1035191</v>
      </c>
      <c r="M15" s="169">
        <f t="shared" si="3"/>
        <v>1058185</v>
      </c>
      <c r="N15" s="169">
        <f t="shared" si="3"/>
        <v>1263792</v>
      </c>
      <c r="O15" s="170">
        <f t="shared" ref="O15:O25" si="7">AVERAGE(I15:M15)</f>
        <v>949435.4</v>
      </c>
      <c r="Q15" s="171">
        <f t="shared" si="1"/>
        <v>0.35628533672206059</v>
      </c>
      <c r="R15" s="171">
        <f t="shared" si="2"/>
        <v>0.44315063795593385</v>
      </c>
      <c r="S15" s="171">
        <f t="shared" si="2"/>
        <v>0.38069908084203574</v>
      </c>
      <c r="T15" s="171">
        <f t="shared" si="2"/>
        <v>0.49997971471156732</v>
      </c>
      <c r="U15" s="171">
        <f t="shared" si="2"/>
        <v>0.41641710931123743</v>
      </c>
      <c r="V15" s="171">
        <f t="shared" si="2"/>
        <v>0.50551679999999999</v>
      </c>
      <c r="W15" s="171">
        <f t="shared" si="2"/>
        <v>0.41634288816475234</v>
      </c>
    </row>
    <row r="16" spans="1:23" x14ac:dyDescent="0.2">
      <c r="A16">
        <v>15</v>
      </c>
      <c r="B16" s="169">
        <v>90638</v>
      </c>
      <c r="C16" s="169">
        <v>105816</v>
      </c>
      <c r="D16" s="169">
        <v>110755</v>
      </c>
      <c r="E16" s="169">
        <v>35568</v>
      </c>
      <c r="F16" s="169">
        <v>78920</v>
      </c>
      <c r="G16" s="169">
        <f>'Vorige - Prev Weekliks-Weekly'!T23</f>
        <v>56827</v>
      </c>
      <c r="I16" s="169">
        <f t="shared" si="6"/>
        <v>962025</v>
      </c>
      <c r="J16" s="169">
        <f t="shared" si="3"/>
        <v>1016873</v>
      </c>
      <c r="K16" s="169">
        <f t="shared" si="3"/>
        <v>982112</v>
      </c>
      <c r="L16" s="169">
        <f t="shared" si="3"/>
        <v>1070759</v>
      </c>
      <c r="M16" s="169">
        <f t="shared" si="3"/>
        <v>1137105</v>
      </c>
      <c r="N16" s="169">
        <f t="shared" si="3"/>
        <v>1320619</v>
      </c>
      <c r="O16" s="170">
        <f t="shared" si="7"/>
        <v>1033774.8</v>
      </c>
      <c r="Q16" s="171">
        <f t="shared" si="1"/>
        <v>0.39334463454244822</v>
      </c>
      <c r="R16" s="171">
        <f t="shared" si="2"/>
        <v>0.49462099371407531</v>
      </c>
      <c r="S16" s="171">
        <f t="shared" si="2"/>
        <v>0.42908834804096757</v>
      </c>
      <c r="T16" s="171">
        <f t="shared" si="2"/>
        <v>0.51715845611567635</v>
      </c>
      <c r="U16" s="171">
        <f t="shared" si="2"/>
        <v>0.44747371875745229</v>
      </c>
      <c r="V16" s="171">
        <f t="shared" si="2"/>
        <v>0.52824760000000004</v>
      </c>
      <c r="W16" s="171">
        <f t="shared" si="2"/>
        <v>0.45332708886137935</v>
      </c>
    </row>
    <row r="17" spans="1:23" x14ac:dyDescent="0.2">
      <c r="A17">
        <v>16</v>
      </c>
      <c r="B17" s="169">
        <v>81642</v>
      </c>
      <c r="C17" s="169">
        <v>101029</v>
      </c>
      <c r="D17" s="169">
        <v>71489</v>
      </c>
      <c r="E17" s="169">
        <v>57219</v>
      </c>
      <c r="F17" s="169">
        <v>14837</v>
      </c>
      <c r="G17" s="169">
        <f>'Vorige - Prev Weekliks-Weekly'!T24</f>
        <v>122827</v>
      </c>
      <c r="I17" s="169">
        <f t="shared" si="6"/>
        <v>1043667</v>
      </c>
      <c r="J17" s="169">
        <f t="shared" si="3"/>
        <v>1117902</v>
      </c>
      <c r="K17" s="169">
        <f t="shared" si="3"/>
        <v>1053601</v>
      </c>
      <c r="L17" s="169">
        <f t="shared" si="3"/>
        <v>1127978</v>
      </c>
      <c r="M17" s="169">
        <f t="shared" si="3"/>
        <v>1151942</v>
      </c>
      <c r="N17" s="169">
        <f t="shared" si="3"/>
        <v>1443446</v>
      </c>
      <c r="O17" s="170">
        <f t="shared" si="7"/>
        <v>1099018</v>
      </c>
      <c r="Q17" s="171">
        <f t="shared" si="1"/>
        <v>0.42672572407059411</v>
      </c>
      <c r="R17" s="171">
        <f t="shared" si="2"/>
        <v>0.54376288692388552</v>
      </c>
      <c r="S17" s="171">
        <f t="shared" si="2"/>
        <v>0.46032215529828724</v>
      </c>
      <c r="T17" s="171">
        <f t="shared" si="2"/>
        <v>0.54479426370681772</v>
      </c>
      <c r="U17" s="171">
        <f t="shared" si="2"/>
        <v>0.45331237707414629</v>
      </c>
      <c r="V17" s="171">
        <f t="shared" si="2"/>
        <v>0.57737839999999996</v>
      </c>
      <c r="W17" s="171">
        <f t="shared" si="2"/>
        <v>0.48193729480178404</v>
      </c>
    </row>
    <row r="18" spans="1:23" x14ac:dyDescent="0.2">
      <c r="A18">
        <v>17</v>
      </c>
      <c r="B18" s="169">
        <v>154136</v>
      </c>
      <c r="C18" s="169">
        <v>52160</v>
      </c>
      <c r="D18" s="169">
        <v>37666</v>
      </c>
      <c r="E18" s="169">
        <v>62040</v>
      </c>
      <c r="F18" s="169">
        <v>32496</v>
      </c>
      <c r="G18" s="169">
        <f>'Vorige - Prev Weekliks-Weekly'!T25</f>
        <v>17549</v>
      </c>
      <c r="I18" s="169">
        <f t="shared" si="6"/>
        <v>1197803</v>
      </c>
      <c r="J18" s="169">
        <f t="shared" si="3"/>
        <v>1170062</v>
      </c>
      <c r="K18" s="169">
        <f t="shared" si="3"/>
        <v>1091267</v>
      </c>
      <c r="L18" s="169">
        <f t="shared" si="3"/>
        <v>1190018</v>
      </c>
      <c r="M18" s="169">
        <f t="shared" si="3"/>
        <v>1184438</v>
      </c>
      <c r="N18" s="169">
        <f t="shared" si="3"/>
        <v>1460995</v>
      </c>
      <c r="O18" s="170">
        <f t="shared" si="7"/>
        <v>1166717.6000000001</v>
      </c>
      <c r="Q18" s="171">
        <f t="shared" si="1"/>
        <v>0.4897475463619429</v>
      </c>
      <c r="R18" s="171">
        <f t="shared" ref="R18:W18" si="8">J18/J$55</f>
        <v>0.56913422732935026</v>
      </c>
      <c r="S18" s="171">
        <f t="shared" si="8"/>
        <v>0.47677856935015822</v>
      </c>
      <c r="T18" s="171">
        <f t="shared" si="8"/>
        <v>0.57475853262019272</v>
      </c>
      <c r="U18" s="171">
        <f t="shared" si="8"/>
        <v>0.46610020754252179</v>
      </c>
      <c r="V18" s="171">
        <f t="shared" si="8"/>
        <v>0.58439799999999997</v>
      </c>
      <c r="W18" s="171">
        <f t="shared" si="8"/>
        <v>0.51162467215425955</v>
      </c>
    </row>
    <row r="19" spans="1:23" x14ac:dyDescent="0.2">
      <c r="A19">
        <v>18</v>
      </c>
      <c r="B19" s="169">
        <v>31952</v>
      </c>
      <c r="C19" s="169">
        <v>53699</v>
      </c>
      <c r="D19" s="169">
        <v>82562</v>
      </c>
      <c r="E19" s="169">
        <v>17475</v>
      </c>
      <c r="F19" s="169">
        <v>81046</v>
      </c>
      <c r="G19" s="169">
        <f>'Vorige - Prev Weekliks-Weekly'!T26</f>
        <v>10655</v>
      </c>
      <c r="I19" s="169">
        <f t="shared" si="6"/>
        <v>1229755</v>
      </c>
      <c r="J19" s="169">
        <f t="shared" si="6"/>
        <v>1223761</v>
      </c>
      <c r="K19" s="169">
        <f t="shared" si="6"/>
        <v>1173829</v>
      </c>
      <c r="L19" s="169">
        <f t="shared" si="6"/>
        <v>1207493</v>
      </c>
      <c r="M19" s="169">
        <f t="shared" si="6"/>
        <v>1265484</v>
      </c>
      <c r="N19" s="169">
        <f t="shared" si="6"/>
        <v>1471650</v>
      </c>
      <c r="O19" s="170">
        <f t="shared" si="7"/>
        <v>1220064.3999999999</v>
      </c>
      <c r="Q19" s="171">
        <f t="shared" ref="Q19:V23" si="9">I19/I$55</f>
        <v>0.50281180951820215</v>
      </c>
      <c r="R19" s="171">
        <f t="shared" si="9"/>
        <v>0.59525415847262197</v>
      </c>
      <c r="S19" s="171">
        <f t="shared" si="9"/>
        <v>0.5128502110681683</v>
      </c>
      <c r="T19" s="171">
        <f t="shared" si="9"/>
        <v>0.5831986615573499</v>
      </c>
      <c r="U19" s="171">
        <f t="shared" si="9"/>
        <v>0.49799344080630703</v>
      </c>
      <c r="V19" s="171">
        <f>N19/N$55</f>
        <v>0.58865999999999996</v>
      </c>
      <c r="W19" s="171">
        <f>O19/O$55</f>
        <v>0.5350181129153132</v>
      </c>
    </row>
    <row r="20" spans="1:23" x14ac:dyDescent="0.2">
      <c r="A20">
        <v>19</v>
      </c>
      <c r="B20" s="169">
        <v>43018</v>
      </c>
      <c r="C20" s="169">
        <v>71062</v>
      </c>
      <c r="D20" s="169">
        <v>8994</v>
      </c>
      <c r="E20" s="169">
        <v>8193</v>
      </c>
      <c r="F20" s="169">
        <v>46067</v>
      </c>
      <c r="G20" s="169">
        <v>62423</v>
      </c>
      <c r="I20" s="169">
        <f t="shared" si="6"/>
        <v>1272773</v>
      </c>
      <c r="J20" s="169">
        <f t="shared" si="6"/>
        <v>1294823</v>
      </c>
      <c r="K20" s="169">
        <f t="shared" si="6"/>
        <v>1182823</v>
      </c>
      <c r="L20" s="169">
        <f t="shared" si="6"/>
        <v>1215686</v>
      </c>
      <c r="M20" s="169">
        <f t="shared" si="6"/>
        <v>1311551</v>
      </c>
      <c r="N20" s="169">
        <f t="shared" si="6"/>
        <v>1534073</v>
      </c>
      <c r="O20" s="170">
        <f>AVERAGE(I20:M20)</f>
        <v>1255531.2</v>
      </c>
      <c r="Q20" s="171">
        <f t="shared" si="9"/>
        <v>0.52040064503572725</v>
      </c>
      <c r="R20" s="171">
        <f t="shared" si="9"/>
        <v>0.62981969129265913</v>
      </c>
      <c r="S20" s="171">
        <f t="shared" si="9"/>
        <v>0.51677972277587625</v>
      </c>
      <c r="T20" s="171">
        <f t="shared" si="9"/>
        <v>0.58715574175089091</v>
      </c>
      <c r="U20" s="171">
        <f t="shared" si="9"/>
        <v>0.51612173309417808</v>
      </c>
      <c r="V20" s="171">
        <f t="shared" si="9"/>
        <v>0.61362919999999999</v>
      </c>
      <c r="W20" s="171">
        <f>O20/O$55</f>
        <v>0.55057088243071328</v>
      </c>
    </row>
    <row r="21" spans="1:23" x14ac:dyDescent="0.2">
      <c r="A21">
        <v>20</v>
      </c>
      <c r="B21" s="169">
        <v>46958</v>
      </c>
      <c r="C21" s="169">
        <v>61672</v>
      </c>
      <c r="D21" s="169">
        <v>45040</v>
      </c>
      <c r="E21" s="169">
        <v>25935</v>
      </c>
      <c r="F21" s="169">
        <v>110516</v>
      </c>
      <c r="G21" s="169">
        <v>61504</v>
      </c>
      <c r="I21" s="169">
        <f t="shared" si="6"/>
        <v>1319731</v>
      </c>
      <c r="J21" s="169">
        <f t="shared" si="6"/>
        <v>1356495</v>
      </c>
      <c r="K21" s="169">
        <f t="shared" si="6"/>
        <v>1227863</v>
      </c>
      <c r="L21" s="169">
        <f t="shared" si="6"/>
        <v>1241621</v>
      </c>
      <c r="M21" s="169">
        <f t="shared" si="6"/>
        <v>1422067</v>
      </c>
      <c r="N21" s="169">
        <f t="shared" si="6"/>
        <v>1595577</v>
      </c>
      <c r="O21" s="170">
        <f t="shared" si="7"/>
        <v>1313555.3999999999</v>
      </c>
      <c r="Q21" s="171">
        <f t="shared" si="9"/>
        <v>0.53960043438511451</v>
      </c>
      <c r="R21" s="171">
        <f t="shared" si="9"/>
        <v>0.6598177991432308</v>
      </c>
      <c r="S21" s="171">
        <f t="shared" si="9"/>
        <v>0.53645786457209221</v>
      </c>
      <c r="T21" s="171">
        <f t="shared" si="9"/>
        <v>0.59968190735805371</v>
      </c>
      <c r="U21" s="171">
        <f t="shared" si="9"/>
        <v>0.55961200488279794</v>
      </c>
      <c r="V21" s="171">
        <f t="shared" si="9"/>
        <v>0.63823079999999999</v>
      </c>
      <c r="W21" s="171">
        <f>O21/O$55</f>
        <v>0.57601543928149979</v>
      </c>
    </row>
    <row r="22" spans="1:23" x14ac:dyDescent="0.2">
      <c r="A22">
        <v>21</v>
      </c>
      <c r="B22" s="169">
        <v>81408</v>
      </c>
      <c r="C22" s="169">
        <v>27272</v>
      </c>
      <c r="D22" s="169">
        <v>43259</v>
      </c>
      <c r="E22" s="169">
        <v>87439</v>
      </c>
      <c r="F22" s="169">
        <v>34553</v>
      </c>
      <c r="G22" s="169">
        <v>116883</v>
      </c>
      <c r="I22" s="169">
        <f t="shared" si="6"/>
        <v>1401139</v>
      </c>
      <c r="J22" s="169">
        <f t="shared" si="6"/>
        <v>1383767</v>
      </c>
      <c r="K22" s="169">
        <f t="shared" si="6"/>
        <v>1271122</v>
      </c>
      <c r="L22" s="169">
        <f t="shared" si="6"/>
        <v>1329060</v>
      </c>
      <c r="M22" s="169">
        <f t="shared" si="6"/>
        <v>1456620</v>
      </c>
      <c r="N22" s="169">
        <f t="shared" si="6"/>
        <v>1712460</v>
      </c>
      <c r="O22" s="170">
        <f t="shared" si="7"/>
        <v>1368341.6</v>
      </c>
      <c r="Q22" s="171">
        <f t="shared" si="9"/>
        <v>0.57288584797502284</v>
      </c>
      <c r="R22" s="171">
        <f t="shared" si="9"/>
        <v>0.67308327451780592</v>
      </c>
      <c r="S22" s="171">
        <f t="shared" si="9"/>
        <v>0.55535788091228988</v>
      </c>
      <c r="T22" s="171">
        <f t="shared" si="9"/>
        <v>0.64191346295954632</v>
      </c>
      <c r="U22" s="171">
        <f t="shared" si="9"/>
        <v>0.57320930627908606</v>
      </c>
      <c r="V22" s="171">
        <f t="shared" si="9"/>
        <v>0.68498400000000004</v>
      </c>
      <c r="W22" s="171">
        <f>O22/O$55</f>
        <v>0.60004008038880607</v>
      </c>
    </row>
    <row r="23" spans="1:23" x14ac:dyDescent="0.2">
      <c r="A23">
        <v>22</v>
      </c>
      <c r="B23" s="169">
        <v>43204</v>
      </c>
      <c r="C23" s="169">
        <v>24800</v>
      </c>
      <c r="D23" s="169">
        <v>30562</v>
      </c>
      <c r="E23" s="169">
        <v>19227</v>
      </c>
      <c r="F23" s="169">
        <v>26048</v>
      </c>
      <c r="G23" s="169">
        <v>62703</v>
      </c>
      <c r="I23" s="169">
        <f>I22+B23</f>
        <v>1444343</v>
      </c>
      <c r="J23" s="169">
        <f t="shared" si="6"/>
        <v>1408567</v>
      </c>
      <c r="K23" s="169">
        <f t="shared" si="6"/>
        <v>1301684</v>
      </c>
      <c r="L23" s="169">
        <f t="shared" si="6"/>
        <v>1348287</v>
      </c>
      <c r="M23" s="169">
        <f t="shared" si="6"/>
        <v>1482668</v>
      </c>
      <c r="N23" s="169">
        <f t="shared" si="6"/>
        <v>1775163</v>
      </c>
      <c r="O23" s="170">
        <f t="shared" si="7"/>
        <v>1397109.8</v>
      </c>
      <c r="Q23" s="171">
        <f t="shared" si="9"/>
        <v>0.59055073359730081</v>
      </c>
      <c r="R23" s="171">
        <f t="shared" si="9"/>
        <v>0.68514633514003609</v>
      </c>
      <c r="S23" s="171">
        <f t="shared" si="9"/>
        <v>0.56871053121370974</v>
      </c>
      <c r="T23" s="171">
        <f t="shared" si="9"/>
        <v>0.65119977821417985</v>
      </c>
      <c r="U23" s="171">
        <f t="shared" si="9"/>
        <v>0.58345971888495285</v>
      </c>
      <c r="V23" s="171">
        <f t="shared" si="9"/>
        <v>0.71006519999999995</v>
      </c>
      <c r="W23" s="171">
        <f>O23/O$55</f>
        <v>0.61265540469133495</v>
      </c>
    </row>
    <row r="24" spans="1:23" x14ac:dyDescent="0.2">
      <c r="A24">
        <v>23</v>
      </c>
      <c r="B24" s="169">
        <v>42616</v>
      </c>
      <c r="C24" s="169">
        <v>18193</v>
      </c>
      <c r="D24" s="169">
        <v>60708</v>
      </c>
      <c r="E24" s="169">
        <v>57872</v>
      </c>
      <c r="F24" s="169">
        <v>19306</v>
      </c>
      <c r="G24" s="169">
        <v>62703</v>
      </c>
      <c r="I24" s="169">
        <f>I23+B24</f>
        <v>1486959</v>
      </c>
      <c r="J24" s="169">
        <f t="shared" si="6"/>
        <v>1426760</v>
      </c>
      <c r="K24" s="169">
        <f t="shared" si="6"/>
        <v>1362392</v>
      </c>
      <c r="L24" s="169">
        <f t="shared" si="6"/>
        <v>1406159</v>
      </c>
      <c r="M24" s="169">
        <f t="shared" si="6"/>
        <v>1501974</v>
      </c>
      <c r="N24" s="169">
        <f t="shared" si="6"/>
        <v>1837866</v>
      </c>
      <c r="O24" s="170">
        <f t="shared" si="7"/>
        <v>1436848.8</v>
      </c>
      <c r="Q24" s="171">
        <f t="shared" ref="Q24:Q53" si="10">I24/I$55</f>
        <v>0.60797520275939221</v>
      </c>
      <c r="R24" s="171">
        <f t="shared" ref="R24:R53" si="11">J24/J$55</f>
        <v>0.69399566021665837</v>
      </c>
    </row>
    <row r="25" spans="1:23" x14ac:dyDescent="0.2">
      <c r="A25">
        <v>24</v>
      </c>
      <c r="B25" s="169">
        <v>90129</v>
      </c>
      <c r="C25" s="169">
        <v>21187</v>
      </c>
      <c r="D25" s="169">
        <v>10573</v>
      </c>
      <c r="E25" s="169">
        <v>29714</v>
      </c>
      <c r="F25" s="169">
        <v>24458</v>
      </c>
      <c r="G25" s="169">
        <v>7703</v>
      </c>
      <c r="I25" s="169">
        <f>I24+B25</f>
        <v>1577088</v>
      </c>
      <c r="J25" s="169">
        <f t="shared" si="6"/>
        <v>1447947</v>
      </c>
      <c r="K25" s="169">
        <f t="shared" si="6"/>
        <v>1372965</v>
      </c>
      <c r="L25" s="169">
        <f t="shared" si="6"/>
        <v>1435873</v>
      </c>
      <c r="M25" s="169">
        <f t="shared" si="6"/>
        <v>1526432</v>
      </c>
      <c r="N25" s="169">
        <f t="shared" si="6"/>
        <v>1845569</v>
      </c>
      <c r="O25" s="170">
        <f t="shared" si="7"/>
        <v>1472061</v>
      </c>
      <c r="Q25" s="171">
        <f t="shared" si="10"/>
        <v>0.64482638497053668</v>
      </c>
      <c r="R25" s="171">
        <f t="shared" si="11"/>
        <v>0.70430130801517421</v>
      </c>
    </row>
    <row r="26" spans="1:23" x14ac:dyDescent="0.2">
      <c r="A26">
        <v>25</v>
      </c>
      <c r="B26" s="169">
        <v>15889</v>
      </c>
      <c r="C26" s="169">
        <v>27045</v>
      </c>
      <c r="D26" s="169">
        <v>10320</v>
      </c>
      <c r="E26" s="169">
        <v>63403</v>
      </c>
      <c r="F26" s="169">
        <v>36479</v>
      </c>
      <c r="G26" s="169">
        <v>115003</v>
      </c>
      <c r="I26" s="169">
        <f>I25+B26</f>
        <v>1592977</v>
      </c>
      <c r="J26" s="169">
        <f t="shared" si="6"/>
        <v>1474992</v>
      </c>
      <c r="K26" s="169">
        <f t="shared" si="6"/>
        <v>1383285</v>
      </c>
      <c r="L26" s="169">
        <f t="shared" si="6"/>
        <v>1499276</v>
      </c>
      <c r="M26" s="169">
        <f t="shared" si="6"/>
        <v>1562911</v>
      </c>
      <c r="N26" s="169">
        <f t="shared" si="6"/>
        <v>1960572</v>
      </c>
      <c r="O26" s="170">
        <f>AVERAGE(I26:M26)</f>
        <v>1502688.2</v>
      </c>
      <c r="Q26" s="171">
        <f t="shared" si="10"/>
        <v>0.65132294472547547</v>
      </c>
      <c r="R26" s="171">
        <f t="shared" si="11"/>
        <v>0.71745636747195707</v>
      </c>
    </row>
    <row r="27" spans="1:23" x14ac:dyDescent="0.2">
      <c r="A27">
        <v>26</v>
      </c>
      <c r="B27" s="169">
        <v>105428</v>
      </c>
      <c r="C27" s="169">
        <v>27629</v>
      </c>
      <c r="D27" s="169">
        <v>67941</v>
      </c>
      <c r="E27" s="169">
        <v>40373</v>
      </c>
      <c r="F27" s="169">
        <v>49827</v>
      </c>
      <c r="G27" s="169">
        <v>60007</v>
      </c>
      <c r="I27" s="169">
        <f>I26+B27</f>
        <v>1698405</v>
      </c>
      <c r="J27" s="169">
        <f>J26+C27</f>
        <v>1502621</v>
      </c>
      <c r="K27" s="169">
        <f>K26+D27</f>
        <v>1451226</v>
      </c>
      <c r="L27" s="169">
        <f>L26+E27</f>
        <v>1539649</v>
      </c>
      <c r="M27" s="169">
        <f>M26+F27</f>
        <v>1612738</v>
      </c>
      <c r="N27" s="169">
        <f>N26+G27</f>
        <v>2020579</v>
      </c>
      <c r="O27" s="170">
        <f>AVERAGE(I27:M27)</f>
        <v>1560927.8</v>
      </c>
      <c r="Q27" s="171">
        <f t="shared" si="10"/>
        <v>0.69442945248831034</v>
      </c>
      <c r="R27" s="171">
        <f t="shared" si="11"/>
        <v>0.73089549254984398</v>
      </c>
    </row>
    <row r="28" spans="1:23" x14ac:dyDescent="0.2">
      <c r="A28">
        <v>27</v>
      </c>
      <c r="B28" s="169">
        <v>37515</v>
      </c>
      <c r="C28" s="169">
        <v>23028</v>
      </c>
      <c r="D28" s="169">
        <v>16077</v>
      </c>
      <c r="E28" s="169">
        <v>28753</v>
      </c>
      <c r="F28" s="169">
        <v>55534</v>
      </c>
      <c r="G28" s="169">
        <f>'Vorige - Prev Weekliks-Weekly'!T35</f>
        <v>64310</v>
      </c>
      <c r="I28" s="169">
        <f t="shared" ref="I28:I38" si="12">I27+B28</f>
        <v>1735920</v>
      </c>
      <c r="J28" s="169">
        <f t="shared" ref="J28:J38" si="13">J27+C28</f>
        <v>1525649</v>
      </c>
      <c r="K28" s="169">
        <f t="shared" ref="K28:K38" si="14">K27+D28</f>
        <v>1467303</v>
      </c>
      <c r="L28" s="169">
        <f t="shared" ref="L28:L38" si="15">L27+E28</f>
        <v>1568402</v>
      </c>
      <c r="M28" s="169">
        <f t="shared" ref="M28:M38" si="16">M27+F28</f>
        <v>1668272</v>
      </c>
      <c r="N28" s="169">
        <f t="shared" ref="N28:N38" si="17">N27+G28</f>
        <v>2084889</v>
      </c>
      <c r="O28" s="170">
        <f t="shared" ref="O28:O53" si="18">AVERAGE(I28:M28)</f>
        <v>1593109.2</v>
      </c>
      <c r="Q28" s="171">
        <f t="shared" si="10"/>
        <v>0.70976826797113035</v>
      </c>
      <c r="R28" s="171">
        <f t="shared" si="11"/>
        <v>0.74209662803406651</v>
      </c>
    </row>
    <row r="29" spans="1:23" x14ac:dyDescent="0.2">
      <c r="A29">
        <v>28</v>
      </c>
      <c r="B29" s="169">
        <v>71299</v>
      </c>
      <c r="C29" s="169">
        <v>21224</v>
      </c>
      <c r="D29" s="169">
        <v>58482</v>
      </c>
      <c r="E29" s="169">
        <v>12699</v>
      </c>
      <c r="F29" s="169">
        <v>24986</v>
      </c>
      <c r="G29" s="169">
        <f>'Vorige - Prev Weekliks-Weekly'!T36</f>
        <v>14043</v>
      </c>
      <c r="I29" s="169">
        <f t="shared" si="12"/>
        <v>1807219</v>
      </c>
      <c r="J29" s="169">
        <f t="shared" si="13"/>
        <v>1546873</v>
      </c>
      <c r="K29" s="169">
        <f t="shared" si="14"/>
        <v>1525785</v>
      </c>
      <c r="L29" s="169">
        <f t="shared" si="15"/>
        <v>1581101</v>
      </c>
      <c r="M29" s="169">
        <f t="shared" si="16"/>
        <v>1693258</v>
      </c>
      <c r="N29" s="169">
        <f t="shared" si="17"/>
        <v>2098932</v>
      </c>
      <c r="O29" s="170">
        <f t="shared" si="18"/>
        <v>1630847.2</v>
      </c>
      <c r="Q29" s="171">
        <f t="shared" si="10"/>
        <v>0.73892039925487252</v>
      </c>
      <c r="R29" s="171">
        <f t="shared" si="11"/>
        <v>0.75242027314076865</v>
      </c>
    </row>
    <row r="30" spans="1:23" x14ac:dyDescent="0.2">
      <c r="A30">
        <v>29</v>
      </c>
      <c r="B30" s="169">
        <v>9344</v>
      </c>
      <c r="C30" s="169">
        <v>21397</v>
      </c>
      <c r="D30" s="169">
        <v>11659</v>
      </c>
      <c r="E30" s="169">
        <v>13439</v>
      </c>
      <c r="F30" s="169">
        <v>25914</v>
      </c>
      <c r="G30" s="169">
        <f>'Vorige - Prev Weekliks-Weekly'!T37</f>
        <v>36320</v>
      </c>
      <c r="I30" s="169">
        <f t="shared" si="12"/>
        <v>1816563</v>
      </c>
      <c r="J30" s="169">
        <f t="shared" si="13"/>
        <v>1568270</v>
      </c>
      <c r="K30" s="169">
        <f t="shared" si="14"/>
        <v>1537444</v>
      </c>
      <c r="L30" s="169">
        <f t="shared" si="15"/>
        <v>1594540</v>
      </c>
      <c r="M30" s="169">
        <f t="shared" si="16"/>
        <v>1719172</v>
      </c>
      <c r="N30" s="169">
        <f t="shared" si="17"/>
        <v>2135252</v>
      </c>
      <c r="O30" s="170">
        <f t="shared" si="18"/>
        <v>1647197.8</v>
      </c>
      <c r="Q30" s="171">
        <f t="shared" si="10"/>
        <v>0.74274089483987771</v>
      </c>
      <c r="R30" s="171">
        <f t="shared" si="11"/>
        <v>0.76282806782358548</v>
      </c>
    </row>
    <row r="31" spans="1:23" x14ac:dyDescent="0.2">
      <c r="A31">
        <v>30</v>
      </c>
      <c r="B31" s="169">
        <v>65034</v>
      </c>
      <c r="C31" s="169">
        <v>24612</v>
      </c>
      <c r="D31" s="169">
        <v>34797</v>
      </c>
      <c r="E31" s="169">
        <v>14842</v>
      </c>
      <c r="F31" s="169">
        <v>30658</v>
      </c>
      <c r="G31" s="169">
        <f>'Vorige - Prev Weekliks-Weekly'!T38</f>
        <v>40608</v>
      </c>
      <c r="I31" s="169">
        <f t="shared" si="12"/>
        <v>1881597</v>
      </c>
      <c r="J31" s="169">
        <f t="shared" si="13"/>
        <v>1592882</v>
      </c>
      <c r="K31" s="169">
        <f t="shared" si="14"/>
        <v>1572241</v>
      </c>
      <c r="L31" s="169">
        <f t="shared" si="15"/>
        <v>1609382</v>
      </c>
      <c r="M31" s="169">
        <f t="shared" si="16"/>
        <v>1749830</v>
      </c>
      <c r="N31" s="169">
        <f t="shared" si="17"/>
        <v>2175860</v>
      </c>
      <c r="O31" s="170">
        <f t="shared" si="18"/>
        <v>1681186.4</v>
      </c>
      <c r="Q31" s="171">
        <f t="shared" si="10"/>
        <v>0.7693314459823466</v>
      </c>
      <c r="R31" s="171">
        <f t="shared" si="11"/>
        <v>0.77479968266367949</v>
      </c>
    </row>
    <row r="32" spans="1:23" x14ac:dyDescent="0.2">
      <c r="A32">
        <v>31</v>
      </c>
      <c r="B32" s="169">
        <v>38081</v>
      </c>
      <c r="C32" s="169">
        <v>23097</v>
      </c>
      <c r="D32" s="169">
        <v>63343</v>
      </c>
      <c r="E32" s="169">
        <v>21271</v>
      </c>
      <c r="F32" s="169">
        <v>33426</v>
      </c>
      <c r="G32" s="169">
        <f>'Vorige - Prev Weekliks-Weekly'!T39</f>
        <v>42801</v>
      </c>
      <c r="I32" s="169">
        <f t="shared" si="12"/>
        <v>1919678</v>
      </c>
      <c r="J32" s="169">
        <f t="shared" si="13"/>
        <v>1615979</v>
      </c>
      <c r="K32" s="169">
        <f t="shared" si="14"/>
        <v>1635584</v>
      </c>
      <c r="L32" s="169">
        <f t="shared" si="15"/>
        <v>1630653</v>
      </c>
      <c r="M32" s="169">
        <f t="shared" si="16"/>
        <v>1783256</v>
      </c>
      <c r="N32" s="169">
        <f t="shared" si="17"/>
        <v>2218661</v>
      </c>
      <c r="O32" s="170">
        <f t="shared" si="18"/>
        <v>1717030</v>
      </c>
      <c r="Q32" s="171">
        <f t="shared" si="10"/>
        <v>0.78490168275167271</v>
      </c>
      <c r="R32" s="171">
        <f t="shared" si="11"/>
        <v>0.78603438069560083</v>
      </c>
    </row>
    <row r="33" spans="1:18" x14ac:dyDescent="0.2">
      <c r="A33">
        <v>32</v>
      </c>
      <c r="B33" s="169">
        <v>44228</v>
      </c>
      <c r="C33" s="169">
        <v>23438</v>
      </c>
      <c r="D33" s="169">
        <v>48382</v>
      </c>
      <c r="E33" s="169">
        <v>69709</v>
      </c>
      <c r="F33" s="169">
        <v>28996</v>
      </c>
      <c r="G33" s="169">
        <f>'Vorige - Prev Weekliks-Weekly'!T40</f>
        <v>48620</v>
      </c>
      <c r="I33" s="169">
        <f t="shared" si="12"/>
        <v>1963906</v>
      </c>
      <c r="J33" s="169">
        <f t="shared" si="13"/>
        <v>1639417</v>
      </c>
      <c r="K33" s="169">
        <f t="shared" si="14"/>
        <v>1683966</v>
      </c>
      <c r="L33" s="169">
        <f t="shared" si="15"/>
        <v>1700362</v>
      </c>
      <c r="M33" s="169">
        <f t="shared" si="16"/>
        <v>1812252</v>
      </c>
      <c r="N33" s="169">
        <f t="shared" si="17"/>
        <v>2267281</v>
      </c>
      <c r="O33" s="170">
        <f t="shared" si="18"/>
        <v>1759980.6</v>
      </c>
      <c r="Q33" s="171">
        <f t="shared" si="10"/>
        <v>0.80298525282162247</v>
      </c>
      <c r="R33" s="171">
        <f t="shared" si="11"/>
        <v>0.79743494581107788</v>
      </c>
    </row>
    <row r="34" spans="1:18" x14ac:dyDescent="0.2">
      <c r="A34">
        <v>33</v>
      </c>
      <c r="B34" s="169">
        <v>0</v>
      </c>
      <c r="C34" s="169">
        <v>0</v>
      </c>
      <c r="D34" s="169">
        <v>0</v>
      </c>
      <c r="E34" s="169">
        <v>15924</v>
      </c>
      <c r="F34" s="169">
        <v>29993</v>
      </c>
      <c r="G34" s="169">
        <f>'Vorige - Prev Weekliks-Weekly'!T41</f>
        <v>24656</v>
      </c>
      <c r="I34" s="169">
        <f t="shared" si="12"/>
        <v>1963906</v>
      </c>
      <c r="J34" s="169">
        <f t="shared" si="13"/>
        <v>1639417</v>
      </c>
      <c r="K34" s="169">
        <f t="shared" si="14"/>
        <v>1683966</v>
      </c>
      <c r="L34" s="169">
        <f t="shared" si="15"/>
        <v>1716286</v>
      </c>
      <c r="M34" s="169">
        <f t="shared" si="16"/>
        <v>1842245</v>
      </c>
      <c r="N34" s="169">
        <f t="shared" si="17"/>
        <v>2291937</v>
      </c>
      <c r="O34" s="170">
        <f t="shared" si="18"/>
        <v>1769164</v>
      </c>
      <c r="Q34" s="171">
        <f t="shared" si="10"/>
        <v>0.80298525282162247</v>
      </c>
      <c r="R34" s="171">
        <f t="shared" si="11"/>
        <v>0.79743494581107788</v>
      </c>
    </row>
    <row r="35" spans="1:18" x14ac:dyDescent="0.2">
      <c r="A35">
        <v>34</v>
      </c>
      <c r="B35" s="169">
        <v>0</v>
      </c>
      <c r="C35" s="169">
        <v>0</v>
      </c>
      <c r="D35" s="169">
        <v>0</v>
      </c>
      <c r="E35" s="169">
        <v>12825</v>
      </c>
      <c r="F35" s="169">
        <v>25665</v>
      </c>
      <c r="G35" s="169">
        <f>'Vorige - Prev Weekliks-Weekly'!T42</f>
        <v>20897</v>
      </c>
      <c r="I35" s="169">
        <f t="shared" si="12"/>
        <v>1963906</v>
      </c>
      <c r="J35" s="169">
        <f t="shared" si="13"/>
        <v>1639417</v>
      </c>
      <c r="K35" s="169">
        <f t="shared" si="14"/>
        <v>1683966</v>
      </c>
      <c r="L35" s="169">
        <f t="shared" si="15"/>
        <v>1729111</v>
      </c>
      <c r="M35" s="169">
        <f t="shared" si="16"/>
        <v>1867910</v>
      </c>
      <c r="N35" s="169">
        <f t="shared" si="17"/>
        <v>2312834</v>
      </c>
      <c r="O35" s="170">
        <f t="shared" si="18"/>
        <v>1776862</v>
      </c>
      <c r="Q35" s="171">
        <f t="shared" si="10"/>
        <v>0.80298525282162247</v>
      </c>
      <c r="R35" s="171">
        <f t="shared" si="11"/>
        <v>0.79743494581107788</v>
      </c>
    </row>
    <row r="36" spans="1:18" x14ac:dyDescent="0.2">
      <c r="A36">
        <v>35</v>
      </c>
      <c r="B36" s="169">
        <v>121518</v>
      </c>
      <c r="C36" s="169">
        <v>47004</v>
      </c>
      <c r="D36" s="169">
        <v>67694</v>
      </c>
      <c r="E36" s="169">
        <v>9216</v>
      </c>
      <c r="F36" s="169">
        <v>18681</v>
      </c>
      <c r="G36" s="169">
        <f>'Vorige - Prev Weekliks-Weekly'!T43</f>
        <v>39031</v>
      </c>
      <c r="I36" s="169">
        <f t="shared" si="12"/>
        <v>2085424</v>
      </c>
      <c r="J36" s="169">
        <f t="shared" si="13"/>
        <v>1686421</v>
      </c>
      <c r="K36" s="169">
        <f t="shared" si="14"/>
        <v>1751660</v>
      </c>
      <c r="L36" s="169">
        <f t="shared" si="15"/>
        <v>1738327</v>
      </c>
      <c r="M36" s="169">
        <f t="shared" si="16"/>
        <v>1886591</v>
      </c>
      <c r="N36" s="169">
        <f t="shared" si="17"/>
        <v>2351865</v>
      </c>
      <c r="O36" s="170">
        <f t="shared" si="18"/>
        <v>1829684.6</v>
      </c>
      <c r="Q36" s="171">
        <f t="shared" si="10"/>
        <v>0.85267050351711293</v>
      </c>
      <c r="R36" s="171">
        <f t="shared" si="11"/>
        <v>0.82029833700008226</v>
      </c>
    </row>
    <row r="37" spans="1:18" x14ac:dyDescent="0.2">
      <c r="A37">
        <v>36</v>
      </c>
      <c r="B37" s="169">
        <v>9702</v>
      </c>
      <c r="C37" s="169">
        <v>7435</v>
      </c>
      <c r="D37" s="169">
        <v>5327</v>
      </c>
      <c r="E37" s="169">
        <v>5488</v>
      </c>
      <c r="F37" s="169">
        <v>11869</v>
      </c>
      <c r="G37" s="169">
        <f>'Vorige - Prev Weekliks-Weekly'!T44</f>
        <v>44879</v>
      </c>
      <c r="I37" s="169">
        <f t="shared" si="12"/>
        <v>2095126</v>
      </c>
      <c r="J37" s="169">
        <f t="shared" si="13"/>
        <v>1693856</v>
      </c>
      <c r="K37" s="169">
        <f t="shared" si="14"/>
        <v>1756987</v>
      </c>
      <c r="L37" s="169">
        <f t="shared" si="15"/>
        <v>1743815</v>
      </c>
      <c r="M37" s="169">
        <f t="shared" si="16"/>
        <v>1898460</v>
      </c>
      <c r="N37" s="169">
        <f t="shared" si="17"/>
        <v>2396744</v>
      </c>
      <c r="O37" s="170">
        <f t="shared" si="18"/>
        <v>1837648.8</v>
      </c>
      <c r="Q37" s="171">
        <f t="shared" si="10"/>
        <v>0.85663737511019089</v>
      </c>
      <c r="R37" s="171">
        <f t="shared" si="11"/>
        <v>0.8239148231180774</v>
      </c>
    </row>
    <row r="38" spans="1:18" x14ac:dyDescent="0.2">
      <c r="A38">
        <v>37</v>
      </c>
      <c r="B38" s="169">
        <v>41051</v>
      </c>
      <c r="C38" s="169">
        <v>26319</v>
      </c>
      <c r="D38" s="169">
        <v>48957</v>
      </c>
      <c r="E38" s="169">
        <v>17380</v>
      </c>
      <c r="F38" s="169">
        <v>28190</v>
      </c>
      <c r="G38" s="169">
        <f>'Vorige - Prev Weekliks-Weekly'!T45</f>
        <v>58268</v>
      </c>
      <c r="I38" s="169">
        <f t="shared" si="12"/>
        <v>2136177</v>
      </c>
      <c r="J38" s="169">
        <f t="shared" si="13"/>
        <v>1720175</v>
      </c>
      <c r="K38" s="169">
        <f t="shared" si="14"/>
        <v>1805944</v>
      </c>
      <c r="L38" s="169">
        <f t="shared" si="15"/>
        <v>1761195</v>
      </c>
      <c r="M38" s="169">
        <f t="shared" si="16"/>
        <v>1926650</v>
      </c>
      <c r="N38" s="169">
        <f t="shared" si="17"/>
        <v>2455012</v>
      </c>
      <c r="O38" s="170">
        <f t="shared" si="18"/>
        <v>1870028.2</v>
      </c>
      <c r="Q38" s="171">
        <f t="shared" si="10"/>
        <v>0.87342196032637764</v>
      </c>
      <c r="R38" s="171">
        <f t="shared" si="11"/>
        <v>0.83671674620341918</v>
      </c>
    </row>
    <row r="39" spans="1:18" x14ac:dyDescent="0.2">
      <c r="A39">
        <v>38</v>
      </c>
      <c r="B39" s="169">
        <v>13584</v>
      </c>
      <c r="C39" s="169">
        <v>25178</v>
      </c>
      <c r="D39" s="169">
        <v>20987</v>
      </c>
      <c r="E39" s="169">
        <v>16715</v>
      </c>
      <c r="F39" s="169">
        <v>32029</v>
      </c>
      <c r="G39" s="169">
        <f>'Vorige - Prev Weekliks-Weekly'!T46</f>
        <v>39854</v>
      </c>
      <c r="I39" s="169">
        <f t="shared" ref="I39:I53" si="19">I38+B39</f>
        <v>2149761</v>
      </c>
      <c r="J39" s="169">
        <f t="shared" ref="J39:J53" si="20">J38+C39</f>
        <v>1745353</v>
      </c>
      <c r="K39" s="169">
        <f t="shared" ref="K39:K53" si="21">K38+D39</f>
        <v>1826931</v>
      </c>
      <c r="L39" s="169">
        <f t="shared" ref="L39:L53" si="22">L38+E39</f>
        <v>1777910</v>
      </c>
      <c r="M39" s="169">
        <f t="shared" ref="M39:M53" si="23">M38+F39</f>
        <v>1958679</v>
      </c>
      <c r="N39" s="169">
        <f t="shared" ref="N39:N53" si="24">N38+G39</f>
        <v>2494866</v>
      </c>
      <c r="O39" s="170">
        <f t="shared" si="18"/>
        <v>1891726.8</v>
      </c>
      <c r="Q39" s="171">
        <f t="shared" si="10"/>
        <v>0.87897607120252386</v>
      </c>
      <c r="R39" s="171">
        <f t="shared" si="11"/>
        <v>0.84896367121739147</v>
      </c>
    </row>
    <row r="40" spans="1:18" x14ac:dyDescent="0.2">
      <c r="A40">
        <v>39</v>
      </c>
      <c r="B40" s="169">
        <v>46614</v>
      </c>
      <c r="C40" s="169">
        <v>24719</v>
      </c>
      <c r="D40" s="169">
        <v>14220</v>
      </c>
      <c r="E40" s="169">
        <v>17371</v>
      </c>
      <c r="F40" s="169">
        <v>36059</v>
      </c>
      <c r="G40" s="169">
        <f>'Vorige - Prev Weekliks-Weekly'!T47</f>
        <v>75237</v>
      </c>
      <c r="I40" s="169">
        <f t="shared" si="19"/>
        <v>2196375</v>
      </c>
      <c r="J40" s="169">
        <f t="shared" si="20"/>
        <v>1770072</v>
      </c>
      <c r="K40" s="169">
        <f t="shared" si="21"/>
        <v>1841151</v>
      </c>
      <c r="L40" s="169">
        <f t="shared" si="22"/>
        <v>1795281</v>
      </c>
      <c r="M40" s="169">
        <f t="shared" si="23"/>
        <v>1994738</v>
      </c>
      <c r="N40" s="169">
        <f t="shared" si="24"/>
        <v>2570103</v>
      </c>
      <c r="O40" s="170">
        <f t="shared" si="18"/>
        <v>1919523.4</v>
      </c>
      <c r="Q40" s="171">
        <f t="shared" si="10"/>
        <v>0.89803520874527143</v>
      </c>
      <c r="R40" s="171">
        <f t="shared" si="11"/>
        <v>0.86098733232710545</v>
      </c>
    </row>
    <row r="41" spans="1:18" x14ac:dyDescent="0.2">
      <c r="A41">
        <v>40</v>
      </c>
      <c r="B41" s="169">
        <v>9411</v>
      </c>
      <c r="C41" s="169">
        <v>22156</v>
      </c>
      <c r="D41" s="169">
        <v>51593</v>
      </c>
      <c r="E41" s="169">
        <v>51844</v>
      </c>
      <c r="F41" s="169">
        <v>37800</v>
      </c>
      <c r="G41" s="169">
        <f>'Vorige - Prev Weekliks-Weekly'!T48</f>
        <v>59238</v>
      </c>
      <c r="I41" s="169">
        <f t="shared" si="19"/>
        <v>2205786</v>
      </c>
      <c r="J41" s="169">
        <f t="shared" si="20"/>
        <v>1792228</v>
      </c>
      <c r="K41" s="169">
        <f t="shared" si="21"/>
        <v>1892744</v>
      </c>
      <c r="L41" s="169">
        <f t="shared" si="22"/>
        <v>1847125</v>
      </c>
      <c r="M41" s="169">
        <f t="shared" si="23"/>
        <v>2032538</v>
      </c>
      <c r="N41" s="169">
        <f t="shared" si="24"/>
        <v>2629341</v>
      </c>
      <c r="O41" s="170">
        <f t="shared" si="18"/>
        <v>1954084.2</v>
      </c>
      <c r="Q41" s="171">
        <f t="shared" si="10"/>
        <v>0.90188309872284889</v>
      </c>
      <c r="R41" s="171">
        <f t="shared" si="11"/>
        <v>0.87176431503461072</v>
      </c>
    </row>
    <row r="42" spans="1:18" x14ac:dyDescent="0.2">
      <c r="A42">
        <v>41</v>
      </c>
      <c r="B42" s="169">
        <v>12452</v>
      </c>
      <c r="C42" s="169">
        <v>27735</v>
      </c>
      <c r="D42" s="169">
        <v>29378</v>
      </c>
      <c r="E42" s="169">
        <v>13434</v>
      </c>
      <c r="F42" s="169">
        <v>29616</v>
      </c>
      <c r="G42" s="169">
        <f>'Vorige - Prev Weekliks-Weekly'!T49</f>
        <v>20416</v>
      </c>
      <c r="I42" s="169">
        <f t="shared" si="19"/>
        <v>2218238</v>
      </c>
      <c r="J42" s="169">
        <f t="shared" si="20"/>
        <v>1819963</v>
      </c>
      <c r="K42" s="169">
        <f t="shared" si="21"/>
        <v>1922122</v>
      </c>
      <c r="L42" s="169">
        <f t="shared" si="22"/>
        <v>1860559</v>
      </c>
      <c r="M42" s="169">
        <f t="shared" si="23"/>
        <v>2062154</v>
      </c>
      <c r="N42" s="169">
        <f t="shared" si="24"/>
        <v>2649757</v>
      </c>
      <c r="O42" s="170">
        <f t="shared" si="18"/>
        <v>1976607.2</v>
      </c>
      <c r="Q42" s="171">
        <f t="shared" si="10"/>
        <v>0.906974367025983</v>
      </c>
      <c r="R42" s="171">
        <f t="shared" si="11"/>
        <v>0.88525499996838308</v>
      </c>
    </row>
    <row r="43" spans="1:18" x14ac:dyDescent="0.2">
      <c r="A43">
        <v>42</v>
      </c>
      <c r="B43" s="169">
        <v>13558</v>
      </c>
      <c r="C43" s="169">
        <v>22109</v>
      </c>
      <c r="D43" s="169">
        <v>39741</v>
      </c>
      <c r="E43" s="169">
        <v>10290</v>
      </c>
      <c r="F43" s="169">
        <v>48535</v>
      </c>
      <c r="G43" s="169">
        <f>'Vorige - Prev Weekliks-Weekly'!T50</f>
        <v>51039</v>
      </c>
      <c r="I43" s="169">
        <f t="shared" si="19"/>
        <v>2231796</v>
      </c>
      <c r="J43" s="169">
        <f t="shared" si="20"/>
        <v>1842072</v>
      </c>
      <c r="K43" s="169">
        <f t="shared" si="21"/>
        <v>1961863</v>
      </c>
      <c r="L43" s="169">
        <f t="shared" si="22"/>
        <v>1870849</v>
      </c>
      <c r="M43" s="169">
        <f t="shared" si="23"/>
        <v>2110689</v>
      </c>
      <c r="N43" s="169">
        <f t="shared" si="24"/>
        <v>2700796</v>
      </c>
      <c r="O43" s="170">
        <f t="shared" si="18"/>
        <v>2003453.8</v>
      </c>
      <c r="Q43" s="171">
        <f t="shared" si="10"/>
        <v>0.9125178472423251</v>
      </c>
      <c r="R43" s="171">
        <f t="shared" si="11"/>
        <v>0.89600912123035437</v>
      </c>
    </row>
    <row r="44" spans="1:18" x14ac:dyDescent="0.2">
      <c r="A44">
        <v>43</v>
      </c>
      <c r="B44" s="169">
        <v>16123</v>
      </c>
      <c r="C44" s="169">
        <v>19963</v>
      </c>
      <c r="D44" s="169">
        <v>28173</v>
      </c>
      <c r="E44" s="169">
        <v>29405</v>
      </c>
      <c r="F44" s="169">
        <v>64260</v>
      </c>
      <c r="G44" s="169">
        <f>'Vorige - Prev Weekliks-Weekly'!T51</f>
        <v>121169</v>
      </c>
      <c r="I44" s="169">
        <f t="shared" si="19"/>
        <v>2247919</v>
      </c>
      <c r="J44" s="169">
        <f t="shared" si="20"/>
        <v>1862035</v>
      </c>
      <c r="K44" s="169">
        <f t="shared" si="21"/>
        <v>1990036</v>
      </c>
      <c r="L44" s="169">
        <f t="shared" si="22"/>
        <v>1900254</v>
      </c>
      <c r="M44" s="169">
        <f t="shared" si="23"/>
        <v>2174949</v>
      </c>
      <c r="N44" s="169">
        <f t="shared" si="24"/>
        <v>2821965</v>
      </c>
      <c r="O44" s="170">
        <f t="shared" si="18"/>
        <v>2035038.6</v>
      </c>
      <c r="Q44" s="171">
        <f t="shared" si="10"/>
        <v>0.91911008293550134</v>
      </c>
      <c r="R44" s="171">
        <f t="shared" si="11"/>
        <v>0.90571939861751494</v>
      </c>
    </row>
    <row r="45" spans="1:18" x14ac:dyDescent="0.2">
      <c r="A45">
        <v>44</v>
      </c>
      <c r="B45" s="169">
        <v>49340</v>
      </c>
      <c r="C45" s="169">
        <v>32967</v>
      </c>
      <c r="D45" s="169">
        <v>14286</v>
      </c>
      <c r="E45" s="169">
        <v>43796</v>
      </c>
      <c r="F45" s="169">
        <v>36450</v>
      </c>
      <c r="G45" s="169">
        <f>'Vorige - Prev Weekliks-Weekly'!T52</f>
        <v>109323</v>
      </c>
      <c r="I45" s="169">
        <f t="shared" si="19"/>
        <v>2297259</v>
      </c>
      <c r="J45" s="169">
        <f t="shared" si="20"/>
        <v>1895002</v>
      </c>
      <c r="K45" s="169">
        <f t="shared" si="21"/>
        <v>2004322</v>
      </c>
      <c r="L45" s="169">
        <f t="shared" si="22"/>
        <v>1944050</v>
      </c>
      <c r="M45" s="169">
        <f t="shared" si="23"/>
        <v>2211399</v>
      </c>
      <c r="N45" s="169">
        <f t="shared" si="24"/>
        <v>2931288</v>
      </c>
      <c r="O45" s="170">
        <f t="shared" si="18"/>
        <v>2070406.4</v>
      </c>
      <c r="Q45" s="171">
        <f t="shared" si="10"/>
        <v>0.93928380427156266</v>
      </c>
      <c r="R45" s="171">
        <f t="shared" si="11"/>
        <v>0.92175500021158996</v>
      </c>
    </row>
    <row r="46" spans="1:18" x14ac:dyDescent="0.2">
      <c r="A46">
        <v>45</v>
      </c>
      <c r="B46" s="169">
        <v>12141</v>
      </c>
      <c r="C46" s="169">
        <v>20140</v>
      </c>
      <c r="D46" s="169">
        <v>13766</v>
      </c>
      <c r="E46" s="169">
        <v>13596</v>
      </c>
      <c r="F46" s="169">
        <v>33237</v>
      </c>
      <c r="G46" s="169">
        <f>'Vorige - Prev Weekliks-Weekly'!T53</f>
        <v>96279</v>
      </c>
      <c r="I46" s="169">
        <f t="shared" si="19"/>
        <v>2309400</v>
      </c>
      <c r="J46" s="169">
        <f t="shared" si="20"/>
        <v>1915142</v>
      </c>
      <c r="K46" s="169">
        <f t="shared" si="21"/>
        <v>2018088</v>
      </c>
      <c r="L46" s="169">
        <f t="shared" si="22"/>
        <v>1957646</v>
      </c>
      <c r="M46" s="169">
        <f t="shared" si="23"/>
        <v>2244636</v>
      </c>
      <c r="N46" s="169">
        <f t="shared" si="24"/>
        <v>3027567</v>
      </c>
      <c r="O46" s="170">
        <f t="shared" si="18"/>
        <v>2088982.4</v>
      </c>
      <c r="Q46" s="171">
        <f t="shared" si="10"/>
        <v>0.94424791352857762</v>
      </c>
      <c r="R46" s="171">
        <f t="shared" si="11"/>
        <v>0.93155137282980427</v>
      </c>
    </row>
    <row r="47" spans="1:18" x14ac:dyDescent="0.2">
      <c r="A47">
        <v>46</v>
      </c>
      <c r="B47" s="169">
        <v>8571</v>
      </c>
      <c r="C47" s="169">
        <v>26106</v>
      </c>
      <c r="D47" s="169">
        <v>27679</v>
      </c>
      <c r="E47" s="169">
        <v>16059</v>
      </c>
      <c r="F47" s="169">
        <v>35051</v>
      </c>
      <c r="G47" s="169">
        <f>'Vorige - Prev Weekliks-Weekly'!T54</f>
        <v>79705</v>
      </c>
      <c r="I47" s="169">
        <f t="shared" si="19"/>
        <v>2317971</v>
      </c>
      <c r="J47" s="169">
        <f t="shared" si="20"/>
        <v>1941248</v>
      </c>
      <c r="K47" s="169">
        <f t="shared" si="21"/>
        <v>2045767</v>
      </c>
      <c r="L47" s="169">
        <f t="shared" si="22"/>
        <v>1973705</v>
      </c>
      <c r="M47" s="169">
        <f t="shared" si="23"/>
        <v>2279687</v>
      </c>
      <c r="N47" s="169">
        <f t="shared" si="24"/>
        <v>3107272</v>
      </c>
      <c r="O47" s="170">
        <f t="shared" si="18"/>
        <v>2111675.6</v>
      </c>
      <c r="Q47" s="171">
        <f t="shared" si="10"/>
        <v>0.94775235142017433</v>
      </c>
      <c r="R47" s="171">
        <f t="shared" si="11"/>
        <v>0.94424968978964063</v>
      </c>
    </row>
    <row r="48" spans="1:18" x14ac:dyDescent="0.2">
      <c r="A48">
        <v>47</v>
      </c>
      <c r="B48" s="169">
        <v>21048</v>
      </c>
      <c r="C48" s="169">
        <v>20407</v>
      </c>
      <c r="D48" s="169">
        <v>29265</v>
      </c>
      <c r="E48" s="169">
        <v>13841</v>
      </c>
      <c r="F48" s="169">
        <v>31043</v>
      </c>
      <c r="G48" s="169">
        <f>'Vorige - Prev Weekliks-Weekly'!T55</f>
        <v>40446</v>
      </c>
      <c r="I48" s="169">
        <f t="shared" si="19"/>
        <v>2339019</v>
      </c>
      <c r="J48" s="169">
        <f t="shared" si="20"/>
        <v>1961655</v>
      </c>
      <c r="K48" s="169">
        <f t="shared" si="21"/>
        <v>2075032</v>
      </c>
      <c r="L48" s="169">
        <f t="shared" si="22"/>
        <v>1987546</v>
      </c>
      <c r="M48" s="169">
        <f t="shared" si="23"/>
        <v>2310730</v>
      </c>
      <c r="N48" s="169">
        <f t="shared" si="24"/>
        <v>3147718</v>
      </c>
      <c r="O48" s="170">
        <f t="shared" si="18"/>
        <v>2134796.4</v>
      </c>
      <c r="Q48" s="171">
        <f t="shared" si="10"/>
        <v>0.95635827940317841</v>
      </c>
      <c r="R48" s="171">
        <f t="shared" si="11"/>
        <v>0.95417593487503793</v>
      </c>
    </row>
    <row r="49" spans="1:18" x14ac:dyDescent="0.2">
      <c r="A49">
        <v>48</v>
      </c>
      <c r="B49" s="169">
        <v>36730</v>
      </c>
      <c r="C49" s="169">
        <v>20198</v>
      </c>
      <c r="D49" s="169">
        <v>14531</v>
      </c>
      <c r="E49" s="169">
        <v>13263</v>
      </c>
      <c r="F49" s="169">
        <v>33992</v>
      </c>
      <c r="G49" s="169">
        <f>'Vorige - Prev Weekliks-Weekly'!T56</f>
        <v>113357</v>
      </c>
      <c r="I49" s="169">
        <f t="shared" si="19"/>
        <v>2375749</v>
      </c>
      <c r="J49" s="169">
        <f t="shared" si="20"/>
        <v>1981853</v>
      </c>
      <c r="K49" s="169">
        <f t="shared" si="21"/>
        <v>2089563</v>
      </c>
      <c r="L49" s="169">
        <f t="shared" si="22"/>
        <v>2000809</v>
      </c>
      <c r="M49" s="169">
        <f t="shared" si="23"/>
        <v>2344722</v>
      </c>
      <c r="N49" s="169">
        <f t="shared" si="24"/>
        <v>3261075</v>
      </c>
      <c r="O49" s="170">
        <f t="shared" si="18"/>
        <v>2158539.2000000002</v>
      </c>
      <c r="Q49" s="171">
        <f t="shared" si="10"/>
        <v>0.9713761307342188</v>
      </c>
      <c r="R49" s="171">
        <f t="shared" si="11"/>
        <v>0.96400051948986876</v>
      </c>
    </row>
    <row r="50" spans="1:18" x14ac:dyDescent="0.2">
      <c r="A50">
        <v>49</v>
      </c>
      <c r="B50" s="169">
        <v>8547</v>
      </c>
      <c r="C50" s="169">
        <v>17540</v>
      </c>
      <c r="D50" s="169">
        <v>56594</v>
      </c>
      <c r="E50" s="169">
        <v>18343</v>
      </c>
      <c r="F50" s="169">
        <v>30756</v>
      </c>
      <c r="G50" s="169">
        <f>'Vorige - Prev Weekliks-Weekly'!T57</f>
        <v>119355</v>
      </c>
      <c r="I50" s="169">
        <f t="shared" si="19"/>
        <v>2384296</v>
      </c>
      <c r="J50" s="169">
        <f t="shared" si="20"/>
        <v>1999393</v>
      </c>
      <c r="K50" s="169">
        <f t="shared" si="21"/>
        <v>2146157</v>
      </c>
      <c r="L50" s="169">
        <f t="shared" si="22"/>
        <v>2019152</v>
      </c>
      <c r="M50" s="169">
        <f t="shared" si="23"/>
        <v>2375478</v>
      </c>
      <c r="N50" s="169">
        <f t="shared" si="24"/>
        <v>3380430</v>
      </c>
      <c r="O50" s="170">
        <f t="shared" si="18"/>
        <v>2184895.2000000002</v>
      </c>
      <c r="Q50" s="171">
        <f t="shared" si="10"/>
        <v>0.97487075570907322</v>
      </c>
      <c r="R50" s="171">
        <f t="shared" si="11"/>
        <v>0.97253221639768794</v>
      </c>
    </row>
    <row r="51" spans="1:18" x14ac:dyDescent="0.2">
      <c r="A51">
        <v>50</v>
      </c>
      <c r="B51" s="169">
        <v>7370</v>
      </c>
      <c r="C51" s="169">
        <v>17653</v>
      </c>
      <c r="D51" s="169">
        <v>18943</v>
      </c>
      <c r="E51" s="169">
        <v>14877</v>
      </c>
      <c r="F51" s="169">
        <v>47830</v>
      </c>
      <c r="G51" s="169">
        <f>'Vorige - Prev Weekliks-Weekly'!T58</f>
        <v>46163</v>
      </c>
      <c r="I51" s="169">
        <f t="shared" si="19"/>
        <v>2391666</v>
      </c>
      <c r="J51" s="169">
        <f t="shared" si="20"/>
        <v>2017046</v>
      </c>
      <c r="K51" s="169">
        <f t="shared" si="21"/>
        <v>2165100</v>
      </c>
      <c r="L51" s="169">
        <f t="shared" si="22"/>
        <v>2034029</v>
      </c>
      <c r="M51" s="169">
        <f t="shared" si="23"/>
        <v>2423308</v>
      </c>
      <c r="N51" s="169">
        <f t="shared" si="24"/>
        <v>3426593</v>
      </c>
      <c r="O51" s="170">
        <f t="shared" si="18"/>
        <v>2206229.7999999998</v>
      </c>
      <c r="Q51" s="171">
        <f t="shared" si="10"/>
        <v>0.97788413889202352</v>
      </c>
      <c r="R51" s="171">
        <f t="shared" si="11"/>
        <v>0.98111887805753595</v>
      </c>
    </row>
    <row r="52" spans="1:18" x14ac:dyDescent="0.2">
      <c r="A52">
        <v>51</v>
      </c>
      <c r="B52" s="169">
        <v>9448</v>
      </c>
      <c r="C52" s="169">
        <v>13877</v>
      </c>
      <c r="D52" s="169">
        <v>14289</v>
      </c>
      <c r="E52" s="169">
        <v>11637</v>
      </c>
      <c r="F52" s="169">
        <v>25932</v>
      </c>
      <c r="G52" s="169">
        <f>'Vorige - Prev Weekliks-Weekly'!T59</f>
        <v>127009</v>
      </c>
      <c r="I52" s="169">
        <f t="shared" si="19"/>
        <v>2401114</v>
      </c>
      <c r="J52" s="169">
        <f t="shared" si="20"/>
        <v>2030923</v>
      </c>
      <c r="K52" s="169">
        <f t="shared" si="21"/>
        <v>2179389</v>
      </c>
      <c r="L52" s="169">
        <f t="shared" si="22"/>
        <v>2045666</v>
      </c>
      <c r="M52" s="169">
        <f t="shared" si="23"/>
        <v>2449240</v>
      </c>
      <c r="N52" s="169">
        <f t="shared" si="24"/>
        <v>3553602</v>
      </c>
      <c r="O52" s="170">
        <f t="shared" si="18"/>
        <v>2221266.4</v>
      </c>
      <c r="Q52" s="171">
        <f t="shared" si="10"/>
        <v>0.98174715711624549</v>
      </c>
      <c r="R52" s="171">
        <f t="shared" si="11"/>
        <v>0.98786884145490239</v>
      </c>
    </row>
    <row r="53" spans="1:18" x14ac:dyDescent="0.2">
      <c r="A53">
        <v>52</v>
      </c>
      <c r="B53" s="169">
        <v>44642</v>
      </c>
      <c r="C53" s="169">
        <v>24940</v>
      </c>
      <c r="D53" s="169">
        <v>109445</v>
      </c>
      <c r="E53" s="169">
        <v>24800</v>
      </c>
      <c r="F53" s="169">
        <v>45980</v>
      </c>
      <c r="G53" s="169">
        <f>'Vorige - Prev Weekliks-Weekly'!T60</f>
        <v>80975</v>
      </c>
      <c r="I53" s="169">
        <f t="shared" si="19"/>
        <v>2445756</v>
      </c>
      <c r="J53" s="169">
        <f t="shared" si="20"/>
        <v>2055863</v>
      </c>
      <c r="K53" s="169">
        <f t="shared" si="21"/>
        <v>2288834</v>
      </c>
      <c r="L53" s="169">
        <f t="shared" si="22"/>
        <v>2070466</v>
      </c>
      <c r="M53" s="169">
        <f t="shared" si="23"/>
        <v>2495220</v>
      </c>
      <c r="N53" s="169">
        <f t="shared" si="24"/>
        <v>3634577</v>
      </c>
      <c r="O53" s="170">
        <f t="shared" si="18"/>
        <v>2271227.7999999998</v>
      </c>
      <c r="Q53" s="171">
        <f t="shared" si="10"/>
        <v>1</v>
      </c>
      <c r="R53" s="171">
        <f t="shared" si="11"/>
        <v>1</v>
      </c>
    </row>
    <row r="54" spans="1:18" x14ac:dyDescent="0.2">
      <c r="B54" s="169"/>
      <c r="C54" s="169"/>
      <c r="D54" s="169"/>
      <c r="E54" s="169"/>
      <c r="F54" s="169">
        <v>45946</v>
      </c>
      <c r="G54" s="169">
        <f>'Vorige - Prev Weekliks-Weekly'!T61</f>
        <v>0</v>
      </c>
    </row>
    <row r="55" spans="1:18" x14ac:dyDescent="0.2">
      <c r="B55" s="170">
        <f>SUM(B2:B54)</f>
        <v>2445756</v>
      </c>
      <c r="C55" s="170">
        <f>SUM(C2:C54)</f>
        <v>2055863</v>
      </c>
      <c r="D55" s="170">
        <f>SUM(D2:D54)</f>
        <v>2288834</v>
      </c>
      <c r="E55" s="170">
        <f>SUM(E2:E54)</f>
        <v>2070466</v>
      </c>
      <c r="F55" s="170">
        <f>SUM(F2:F54)</f>
        <v>2541166</v>
      </c>
      <c r="I55" s="169">
        <v>2445756</v>
      </c>
      <c r="J55" s="169">
        <v>2055863</v>
      </c>
      <c r="K55" s="169">
        <v>2288834</v>
      </c>
      <c r="L55" s="169">
        <v>2070466</v>
      </c>
      <c r="M55" s="169">
        <v>2541166</v>
      </c>
      <c r="N55" s="169">
        <v>2500000</v>
      </c>
      <c r="O55" s="169">
        <f>AVERAGE(I55:M55)</f>
        <v>2280417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zoomScale="93" zoomScaleNormal="93" workbookViewId="0">
      <selection activeCell="A7" sqref="A7:K65"/>
    </sheetView>
  </sheetViews>
  <sheetFormatPr defaultRowHeight="12.75" x14ac:dyDescent="0.2"/>
  <cols>
    <col min="1" max="1" width="19.7109375" customWidth="1"/>
    <col min="2" max="2" width="28.28515625" customWidth="1"/>
    <col min="3" max="3" width="14.42578125" customWidth="1"/>
    <col min="4" max="4" width="15.28515625" customWidth="1"/>
    <col min="5" max="5" width="13.5703125" customWidth="1"/>
    <col min="6" max="6" width="14.42578125" customWidth="1"/>
  </cols>
  <sheetData>
    <row r="1" spans="1:2" s="69" customFormat="1" ht="15.75" x14ac:dyDescent="0.25">
      <c r="A1" s="68" t="s">
        <v>156</v>
      </c>
    </row>
    <row r="2" spans="1:2" s="69" customFormat="1" ht="15.75" x14ac:dyDescent="0.25">
      <c r="A2" s="68" t="s">
        <v>149</v>
      </c>
    </row>
    <row r="3" spans="1:2" s="69" customFormat="1" ht="15" x14ac:dyDescent="0.2"/>
    <row r="4" spans="1:2" s="69" customFormat="1" ht="15" x14ac:dyDescent="0.2">
      <c r="A4" s="123" t="s">
        <v>127</v>
      </c>
      <c r="B4" s="99" t="e">
        <f>#REF!</f>
        <v>#REF!</v>
      </c>
    </row>
    <row r="5" spans="1:2" s="69" customFormat="1" ht="15" x14ac:dyDescent="0.2">
      <c r="A5" s="123" t="s">
        <v>123</v>
      </c>
      <c r="B5" s="70" t="e">
        <f>B4</f>
        <v>#REF!</v>
      </c>
    </row>
    <row r="6" spans="1:2" s="69" customFormat="1" ht="15" x14ac:dyDescent="0.2">
      <c r="A6" s="123"/>
      <c r="B6" s="7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65"/>
  <sheetViews>
    <sheetView topLeftCell="A35" zoomScale="91" zoomScaleNormal="91" workbookViewId="0">
      <selection activeCell="A7" sqref="A7:K65"/>
    </sheetView>
  </sheetViews>
  <sheetFormatPr defaultRowHeight="12.75" x14ac:dyDescent="0.2"/>
  <cols>
    <col min="1" max="1" width="16.5703125" customWidth="1"/>
    <col min="2" max="2" width="27" customWidth="1"/>
    <col min="3" max="3" width="16.28515625" customWidth="1"/>
    <col min="4" max="4" width="14" customWidth="1"/>
    <col min="5" max="5" width="20.140625" customWidth="1"/>
    <col min="6" max="6" width="9.7109375" bestFit="1" customWidth="1"/>
    <col min="7" max="8" width="11.140625" bestFit="1" customWidth="1"/>
  </cols>
  <sheetData>
    <row r="1" spans="1:8" s="69" customFormat="1" ht="15.75" x14ac:dyDescent="0.25">
      <c r="A1" s="68" t="s">
        <v>154</v>
      </c>
    </row>
    <row r="2" spans="1:8" s="69" customFormat="1" ht="15.75" x14ac:dyDescent="0.25">
      <c r="A2" s="68" t="s">
        <v>149</v>
      </c>
    </row>
    <row r="3" spans="1:8" s="69" customFormat="1" ht="15" x14ac:dyDescent="0.2"/>
    <row r="4" spans="1:8" s="69" customFormat="1" ht="15" x14ac:dyDescent="0.2">
      <c r="A4" s="123" t="s">
        <v>127</v>
      </c>
      <c r="B4" s="99" t="e">
        <f>#REF!</f>
        <v>#REF!</v>
      </c>
    </row>
    <row r="5" spans="1:8" s="69" customFormat="1" ht="15" x14ac:dyDescent="0.2">
      <c r="A5" s="123" t="s">
        <v>123</v>
      </c>
      <c r="B5" s="70" t="e">
        <f>B4</f>
        <v>#REF!</v>
      </c>
    </row>
    <row r="7" spans="1:8" ht="15.75" x14ac:dyDescent="0.25">
      <c r="A7" s="216" t="s">
        <v>160</v>
      </c>
      <c r="B7" s="217"/>
      <c r="C7" s="217"/>
      <c r="D7" s="217"/>
      <c r="E7" s="217"/>
      <c r="F7" s="217"/>
      <c r="G7" s="217"/>
      <c r="H7" s="218"/>
    </row>
    <row r="8" spans="1:8" ht="15.75" x14ac:dyDescent="0.25">
      <c r="A8" s="216" t="s">
        <v>161</v>
      </c>
      <c r="B8" s="217"/>
      <c r="C8" s="217"/>
      <c r="D8" s="217"/>
      <c r="E8" s="217"/>
      <c r="F8" s="217"/>
      <c r="G8" s="217"/>
      <c r="H8" s="218"/>
    </row>
    <row r="9" spans="1:8" x14ac:dyDescent="0.2">
      <c r="A9" s="219" t="s">
        <v>116</v>
      </c>
      <c r="B9" s="220"/>
      <c r="C9" s="220"/>
      <c r="D9" s="220"/>
      <c r="E9" s="220"/>
      <c r="F9" s="220"/>
      <c r="G9" s="220"/>
      <c r="H9" s="221"/>
    </row>
    <row r="10" spans="1:8" x14ac:dyDescent="0.2">
      <c r="A10" s="132"/>
      <c r="B10" s="132" t="s">
        <v>114</v>
      </c>
      <c r="C10" s="132" t="s">
        <v>148</v>
      </c>
      <c r="D10" s="132" t="s">
        <v>203</v>
      </c>
      <c r="E10" s="132" t="s">
        <v>210</v>
      </c>
      <c r="F10" s="132" t="s">
        <v>147</v>
      </c>
      <c r="G10" s="132" t="s">
        <v>142</v>
      </c>
      <c r="H10" s="132" t="s">
        <v>142</v>
      </c>
    </row>
    <row r="11" spans="1:8" x14ac:dyDescent="0.2">
      <c r="A11" s="131">
        <v>1</v>
      </c>
      <c r="B11" s="131" t="s">
        <v>125</v>
      </c>
      <c r="C11" s="133">
        <v>0</v>
      </c>
      <c r="D11" s="133">
        <v>0</v>
      </c>
      <c r="E11" s="133">
        <v>0</v>
      </c>
      <c r="F11" s="133">
        <v>0</v>
      </c>
      <c r="G11" s="134">
        <f t="shared" ref="G11:G62" si="0">SUM(C11:F11)</f>
        <v>0</v>
      </c>
      <c r="H11" s="134">
        <f>G11</f>
        <v>0</v>
      </c>
    </row>
    <row r="12" spans="1:8" x14ac:dyDescent="0.2">
      <c r="A12" s="131">
        <v>2</v>
      </c>
      <c r="B12" s="131" t="s">
        <v>132</v>
      </c>
      <c r="C12" s="133">
        <v>87</v>
      </c>
      <c r="D12" s="133">
        <v>0</v>
      </c>
      <c r="E12" s="133">
        <v>0</v>
      </c>
      <c r="F12" s="133">
        <v>0</v>
      </c>
      <c r="G12" s="134">
        <f t="shared" si="0"/>
        <v>87</v>
      </c>
      <c r="H12" s="134">
        <f t="shared" ref="H12:H62" si="1">G12+H11</f>
        <v>87</v>
      </c>
    </row>
    <row r="13" spans="1:8" x14ac:dyDescent="0.2">
      <c r="A13" s="131">
        <v>3</v>
      </c>
      <c r="B13" s="131" t="s">
        <v>133</v>
      </c>
      <c r="C13" s="133">
        <v>0</v>
      </c>
      <c r="D13" s="133">
        <v>0</v>
      </c>
      <c r="E13" s="133">
        <v>0</v>
      </c>
      <c r="F13" s="133">
        <v>0</v>
      </c>
      <c r="G13" s="134">
        <f t="shared" si="0"/>
        <v>0</v>
      </c>
      <c r="H13" s="134">
        <f t="shared" si="1"/>
        <v>87</v>
      </c>
    </row>
    <row r="14" spans="1:8" x14ac:dyDescent="0.2">
      <c r="A14" s="131">
        <v>4</v>
      </c>
      <c r="B14" s="131" t="s">
        <v>134</v>
      </c>
      <c r="C14" s="133">
        <v>392</v>
      </c>
      <c r="D14" s="133">
        <v>0</v>
      </c>
      <c r="E14" s="133">
        <v>0</v>
      </c>
      <c r="F14" s="133">
        <v>0</v>
      </c>
      <c r="G14" s="134">
        <f t="shared" si="0"/>
        <v>392</v>
      </c>
      <c r="H14" s="134">
        <f t="shared" si="1"/>
        <v>479</v>
      </c>
    </row>
    <row r="15" spans="1:8" x14ac:dyDescent="0.2">
      <c r="A15" s="131">
        <v>5</v>
      </c>
      <c r="B15" s="131" t="s">
        <v>135</v>
      </c>
      <c r="C15" s="133">
        <v>0</v>
      </c>
      <c r="D15" s="133">
        <v>0</v>
      </c>
      <c r="E15" s="133">
        <v>0</v>
      </c>
      <c r="F15" s="133">
        <v>0</v>
      </c>
      <c r="G15" s="134">
        <f t="shared" si="0"/>
        <v>0</v>
      </c>
      <c r="H15" s="134">
        <f t="shared" si="1"/>
        <v>479</v>
      </c>
    </row>
    <row r="16" spans="1:8" x14ac:dyDescent="0.2">
      <c r="A16" s="131">
        <v>6</v>
      </c>
      <c r="B16" s="131" t="s">
        <v>136</v>
      </c>
      <c r="C16" s="133">
        <v>0</v>
      </c>
      <c r="D16" s="133">
        <v>0</v>
      </c>
      <c r="E16" s="133">
        <v>0</v>
      </c>
      <c r="F16" s="133">
        <v>0</v>
      </c>
      <c r="G16" s="134">
        <f t="shared" si="0"/>
        <v>0</v>
      </c>
      <c r="H16" s="134">
        <f t="shared" si="1"/>
        <v>479</v>
      </c>
    </row>
    <row r="17" spans="1:8" x14ac:dyDescent="0.2">
      <c r="A17" s="131">
        <v>7</v>
      </c>
      <c r="B17" s="131" t="s">
        <v>137</v>
      </c>
      <c r="C17" s="133">
        <v>0</v>
      </c>
      <c r="D17" s="133">
        <v>0</v>
      </c>
      <c r="E17" s="133">
        <v>0</v>
      </c>
      <c r="F17" s="133">
        <v>0</v>
      </c>
      <c r="G17" s="134">
        <f t="shared" si="0"/>
        <v>0</v>
      </c>
      <c r="H17" s="134">
        <f t="shared" si="1"/>
        <v>479</v>
      </c>
    </row>
    <row r="18" spans="1:8" x14ac:dyDescent="0.2">
      <c r="A18" s="131">
        <v>8</v>
      </c>
      <c r="B18" s="131" t="s">
        <v>138</v>
      </c>
      <c r="C18" s="133">
        <v>131</v>
      </c>
      <c r="D18" s="133">
        <v>0</v>
      </c>
      <c r="E18" s="133">
        <v>0</v>
      </c>
      <c r="F18" s="133">
        <v>0</v>
      </c>
      <c r="G18" s="134">
        <f t="shared" si="0"/>
        <v>131</v>
      </c>
      <c r="H18" s="134">
        <f t="shared" si="1"/>
        <v>610</v>
      </c>
    </row>
    <row r="19" spans="1:8" x14ac:dyDescent="0.2">
      <c r="A19" s="131">
        <v>9</v>
      </c>
      <c r="B19" s="131" t="s">
        <v>139</v>
      </c>
      <c r="C19" s="133">
        <v>0</v>
      </c>
      <c r="D19" s="133">
        <v>0</v>
      </c>
      <c r="E19" s="133">
        <v>0</v>
      </c>
      <c r="F19" s="133">
        <v>0</v>
      </c>
      <c r="G19" s="134">
        <f t="shared" si="0"/>
        <v>0</v>
      </c>
      <c r="H19" s="134">
        <f t="shared" si="1"/>
        <v>610</v>
      </c>
    </row>
    <row r="20" spans="1:8" x14ac:dyDescent="0.2">
      <c r="A20" s="131">
        <v>10</v>
      </c>
      <c r="B20" s="131" t="s">
        <v>140</v>
      </c>
      <c r="C20" s="133">
        <v>0</v>
      </c>
      <c r="D20" s="133">
        <v>0</v>
      </c>
      <c r="E20" s="133">
        <v>0</v>
      </c>
      <c r="F20" s="133">
        <v>0</v>
      </c>
      <c r="G20" s="134">
        <f t="shared" si="0"/>
        <v>0</v>
      </c>
      <c r="H20" s="134">
        <f t="shared" si="1"/>
        <v>610</v>
      </c>
    </row>
    <row r="21" spans="1:8" x14ac:dyDescent="0.2">
      <c r="A21" s="131">
        <v>11</v>
      </c>
      <c r="B21" s="131" t="s">
        <v>141</v>
      </c>
      <c r="C21" s="133">
        <v>0</v>
      </c>
      <c r="D21" s="133">
        <v>0</v>
      </c>
      <c r="E21" s="133">
        <v>0</v>
      </c>
      <c r="F21" s="133">
        <v>0</v>
      </c>
      <c r="G21" s="134">
        <f t="shared" si="0"/>
        <v>0</v>
      </c>
      <c r="H21" s="134">
        <f t="shared" si="1"/>
        <v>610</v>
      </c>
    </row>
    <row r="22" spans="1:8" x14ac:dyDescent="0.2">
      <c r="A22" s="131">
        <v>12</v>
      </c>
      <c r="B22" s="131" t="s">
        <v>143</v>
      </c>
      <c r="C22" s="133">
        <v>0</v>
      </c>
      <c r="D22" s="133">
        <v>0</v>
      </c>
      <c r="E22" s="133">
        <v>0</v>
      </c>
      <c r="F22" s="133">
        <v>0</v>
      </c>
      <c r="G22" s="134">
        <f t="shared" si="0"/>
        <v>0</v>
      </c>
      <c r="H22" s="134">
        <f t="shared" si="1"/>
        <v>610</v>
      </c>
    </row>
    <row r="23" spans="1:8" x14ac:dyDescent="0.2">
      <c r="A23" s="131">
        <v>13</v>
      </c>
      <c r="B23" s="131" t="s">
        <v>146</v>
      </c>
      <c r="C23" s="133">
        <v>0</v>
      </c>
      <c r="D23" s="133">
        <v>0</v>
      </c>
      <c r="E23" s="133">
        <v>0</v>
      </c>
      <c r="F23" s="133">
        <v>0</v>
      </c>
      <c r="G23" s="134">
        <f t="shared" si="0"/>
        <v>0</v>
      </c>
      <c r="H23" s="134">
        <f t="shared" si="1"/>
        <v>610</v>
      </c>
    </row>
    <row r="24" spans="1:8" x14ac:dyDescent="0.2">
      <c r="A24" s="131">
        <v>14</v>
      </c>
      <c r="B24" s="131" t="s">
        <v>150</v>
      </c>
      <c r="C24" s="133">
        <v>0</v>
      </c>
      <c r="D24" s="133">
        <v>0</v>
      </c>
      <c r="E24" s="133">
        <v>0</v>
      </c>
      <c r="F24" s="133">
        <v>0</v>
      </c>
      <c r="G24" s="134">
        <f t="shared" si="0"/>
        <v>0</v>
      </c>
      <c r="H24" s="134">
        <f t="shared" si="1"/>
        <v>610</v>
      </c>
    </row>
    <row r="25" spans="1:8" x14ac:dyDescent="0.2">
      <c r="A25" s="131">
        <v>15</v>
      </c>
      <c r="B25" s="131" t="s">
        <v>151</v>
      </c>
      <c r="C25" s="133">
        <v>260</v>
      </c>
      <c r="D25" s="133">
        <v>0</v>
      </c>
      <c r="E25" s="133">
        <v>0</v>
      </c>
      <c r="F25" s="133">
        <v>0</v>
      </c>
      <c r="G25" s="134">
        <f t="shared" si="0"/>
        <v>260</v>
      </c>
      <c r="H25" s="134">
        <f t="shared" si="1"/>
        <v>870</v>
      </c>
    </row>
    <row r="26" spans="1:8" x14ac:dyDescent="0.2">
      <c r="A26" s="131">
        <v>16</v>
      </c>
      <c r="B26" s="131" t="s">
        <v>157</v>
      </c>
      <c r="C26" s="133">
        <v>0</v>
      </c>
      <c r="D26" s="133">
        <v>0</v>
      </c>
      <c r="E26" s="133">
        <v>0</v>
      </c>
      <c r="F26" s="133">
        <v>0</v>
      </c>
      <c r="G26" s="134">
        <f t="shared" si="0"/>
        <v>0</v>
      </c>
      <c r="H26" s="134">
        <f t="shared" si="1"/>
        <v>870</v>
      </c>
    </row>
    <row r="27" spans="1:8" x14ac:dyDescent="0.2">
      <c r="A27" s="131">
        <v>17</v>
      </c>
      <c r="B27" s="131" t="s">
        <v>158</v>
      </c>
      <c r="C27" s="133">
        <v>0</v>
      </c>
      <c r="D27" s="133">
        <v>0</v>
      </c>
      <c r="E27" s="133">
        <v>0</v>
      </c>
      <c r="F27" s="133">
        <v>0</v>
      </c>
      <c r="G27" s="134">
        <f t="shared" si="0"/>
        <v>0</v>
      </c>
      <c r="H27" s="134">
        <f t="shared" si="1"/>
        <v>870</v>
      </c>
    </row>
    <row r="28" spans="1:8" x14ac:dyDescent="0.2">
      <c r="A28" s="131">
        <v>18</v>
      </c>
      <c r="B28" s="131" t="s">
        <v>159</v>
      </c>
      <c r="C28" s="133">
        <v>0</v>
      </c>
      <c r="D28" s="133">
        <v>0</v>
      </c>
      <c r="E28" s="133">
        <v>0</v>
      </c>
      <c r="F28" s="133">
        <v>0</v>
      </c>
      <c r="G28" s="134">
        <f t="shared" si="0"/>
        <v>0</v>
      </c>
      <c r="H28" s="134">
        <f t="shared" si="1"/>
        <v>870</v>
      </c>
    </row>
    <row r="29" spans="1:8" x14ac:dyDescent="0.2">
      <c r="A29" s="131">
        <v>19</v>
      </c>
      <c r="B29" s="131" t="s">
        <v>170</v>
      </c>
      <c r="C29" s="133">
        <v>143</v>
      </c>
      <c r="D29" s="133">
        <v>0</v>
      </c>
      <c r="E29" s="133">
        <v>0</v>
      </c>
      <c r="F29" s="133">
        <v>0</v>
      </c>
      <c r="G29" s="134">
        <f t="shared" si="0"/>
        <v>143</v>
      </c>
      <c r="H29" s="134">
        <f t="shared" si="1"/>
        <v>1013</v>
      </c>
    </row>
    <row r="30" spans="1:8" x14ac:dyDescent="0.2">
      <c r="A30" s="131">
        <v>20</v>
      </c>
      <c r="B30" s="131" t="s">
        <v>171</v>
      </c>
      <c r="C30" s="133">
        <v>0</v>
      </c>
      <c r="D30" s="133">
        <v>0</v>
      </c>
      <c r="E30" s="133">
        <v>0</v>
      </c>
      <c r="F30" s="133">
        <v>0</v>
      </c>
      <c r="G30" s="134">
        <f t="shared" si="0"/>
        <v>0</v>
      </c>
      <c r="H30" s="134">
        <f t="shared" si="1"/>
        <v>1013</v>
      </c>
    </row>
    <row r="31" spans="1:8" x14ac:dyDescent="0.2">
      <c r="A31" s="131">
        <v>21</v>
      </c>
      <c r="B31" s="131" t="s">
        <v>172</v>
      </c>
      <c r="C31" s="133">
        <v>0</v>
      </c>
      <c r="D31" s="133">
        <v>0</v>
      </c>
      <c r="E31" s="133">
        <v>0</v>
      </c>
      <c r="F31" s="133">
        <v>0</v>
      </c>
      <c r="G31" s="134">
        <f t="shared" si="0"/>
        <v>0</v>
      </c>
      <c r="H31" s="134">
        <f t="shared" si="1"/>
        <v>1013</v>
      </c>
    </row>
    <row r="32" spans="1:8" x14ac:dyDescent="0.2">
      <c r="A32" s="131">
        <v>22</v>
      </c>
      <c r="B32" s="131" t="s">
        <v>173</v>
      </c>
      <c r="C32" s="133">
        <v>111</v>
      </c>
      <c r="D32" s="133">
        <v>0</v>
      </c>
      <c r="E32" s="133">
        <v>0</v>
      </c>
      <c r="F32" s="133">
        <v>0</v>
      </c>
      <c r="G32" s="134">
        <f t="shared" si="0"/>
        <v>111</v>
      </c>
      <c r="H32" s="134">
        <f t="shared" si="1"/>
        <v>1124</v>
      </c>
    </row>
    <row r="33" spans="1:8" x14ac:dyDescent="0.2">
      <c r="A33" s="131">
        <v>23</v>
      </c>
      <c r="B33" s="131" t="s">
        <v>174</v>
      </c>
      <c r="C33" s="133">
        <v>0</v>
      </c>
      <c r="D33" s="133">
        <v>0</v>
      </c>
      <c r="E33" s="133">
        <v>0</v>
      </c>
      <c r="F33" s="133">
        <v>0</v>
      </c>
      <c r="G33" s="134">
        <f t="shared" si="0"/>
        <v>0</v>
      </c>
      <c r="H33" s="134">
        <f t="shared" si="1"/>
        <v>1124</v>
      </c>
    </row>
    <row r="34" spans="1:8" x14ac:dyDescent="0.2">
      <c r="A34" s="131">
        <v>24</v>
      </c>
      <c r="B34" s="131" t="s">
        <v>175</v>
      </c>
      <c r="C34" s="133">
        <v>0</v>
      </c>
      <c r="D34" s="133">
        <v>0</v>
      </c>
      <c r="E34" s="133">
        <v>0</v>
      </c>
      <c r="F34" s="133">
        <v>0</v>
      </c>
      <c r="G34" s="134">
        <f t="shared" si="0"/>
        <v>0</v>
      </c>
      <c r="H34" s="134">
        <f t="shared" si="1"/>
        <v>1124</v>
      </c>
    </row>
    <row r="35" spans="1:8" x14ac:dyDescent="0.2">
      <c r="A35" s="131">
        <v>25</v>
      </c>
      <c r="B35" s="131" t="s">
        <v>176</v>
      </c>
      <c r="C35" s="133">
        <v>1022</v>
      </c>
      <c r="D35" s="133">
        <v>8294</v>
      </c>
      <c r="E35" s="133">
        <v>0</v>
      </c>
      <c r="F35" s="133">
        <v>0</v>
      </c>
      <c r="G35" s="134">
        <f t="shared" si="0"/>
        <v>9316</v>
      </c>
      <c r="H35" s="134">
        <f t="shared" si="1"/>
        <v>10440</v>
      </c>
    </row>
    <row r="36" spans="1:8" x14ac:dyDescent="0.2">
      <c r="A36" s="131">
        <v>26</v>
      </c>
      <c r="B36" s="131" t="s">
        <v>178</v>
      </c>
      <c r="C36" s="133">
        <v>0</v>
      </c>
      <c r="D36" s="133">
        <v>0</v>
      </c>
      <c r="E36" s="133">
        <v>0</v>
      </c>
      <c r="F36" s="133">
        <v>0</v>
      </c>
      <c r="G36" s="134">
        <f t="shared" si="0"/>
        <v>0</v>
      </c>
      <c r="H36" s="134">
        <f t="shared" si="1"/>
        <v>10440</v>
      </c>
    </row>
    <row r="37" spans="1:8" x14ac:dyDescent="0.2">
      <c r="A37" s="131">
        <v>27</v>
      </c>
      <c r="B37" s="131" t="s">
        <v>179</v>
      </c>
      <c r="C37" s="133">
        <v>0</v>
      </c>
      <c r="D37" s="133">
        <v>0</v>
      </c>
      <c r="E37" s="133">
        <v>0</v>
      </c>
      <c r="F37" s="133">
        <v>0</v>
      </c>
      <c r="G37" s="134">
        <f t="shared" si="0"/>
        <v>0</v>
      </c>
      <c r="H37" s="134">
        <f t="shared" si="1"/>
        <v>10440</v>
      </c>
    </row>
    <row r="38" spans="1:8" x14ac:dyDescent="0.2">
      <c r="A38" s="131">
        <v>28</v>
      </c>
      <c r="B38" s="131" t="s">
        <v>180</v>
      </c>
      <c r="C38" s="133">
        <v>0</v>
      </c>
      <c r="D38" s="133">
        <v>0</v>
      </c>
      <c r="E38" s="133">
        <v>0</v>
      </c>
      <c r="F38" s="133">
        <v>0</v>
      </c>
      <c r="G38" s="134">
        <f t="shared" si="0"/>
        <v>0</v>
      </c>
      <c r="H38" s="134">
        <f t="shared" si="1"/>
        <v>10440</v>
      </c>
    </row>
    <row r="39" spans="1:8" x14ac:dyDescent="0.2">
      <c r="A39" s="131">
        <v>29</v>
      </c>
      <c r="B39" s="131" t="s">
        <v>181</v>
      </c>
      <c r="C39" s="133">
        <v>0</v>
      </c>
      <c r="D39" s="133">
        <v>0</v>
      </c>
      <c r="E39" s="133">
        <v>0</v>
      </c>
      <c r="F39" s="133">
        <v>0</v>
      </c>
      <c r="G39" s="134">
        <f t="shared" si="0"/>
        <v>0</v>
      </c>
      <c r="H39" s="134">
        <f t="shared" si="1"/>
        <v>10440</v>
      </c>
    </row>
    <row r="40" spans="1:8" x14ac:dyDescent="0.2">
      <c r="A40" s="131">
        <v>30</v>
      </c>
      <c r="B40" s="131" t="s">
        <v>183</v>
      </c>
      <c r="C40" s="133">
        <v>0</v>
      </c>
      <c r="D40" s="133">
        <v>0</v>
      </c>
      <c r="E40" s="133">
        <v>0</v>
      </c>
      <c r="F40" s="133">
        <v>0</v>
      </c>
      <c r="G40" s="134">
        <f t="shared" si="0"/>
        <v>0</v>
      </c>
      <c r="H40" s="134">
        <f t="shared" si="1"/>
        <v>10440</v>
      </c>
    </row>
    <row r="41" spans="1:8" x14ac:dyDescent="0.2">
      <c r="A41" s="131">
        <v>31</v>
      </c>
      <c r="B41" s="131" t="s">
        <v>185</v>
      </c>
      <c r="C41" s="133">
        <v>374</v>
      </c>
      <c r="D41" s="133">
        <v>0</v>
      </c>
      <c r="E41" s="133">
        <v>0</v>
      </c>
      <c r="F41" s="133">
        <v>0</v>
      </c>
      <c r="G41" s="134">
        <f t="shared" si="0"/>
        <v>374</v>
      </c>
      <c r="H41" s="134">
        <f t="shared" si="1"/>
        <v>10814</v>
      </c>
    </row>
    <row r="42" spans="1:8" x14ac:dyDescent="0.2">
      <c r="A42" s="131">
        <v>32</v>
      </c>
      <c r="B42" s="131" t="s">
        <v>186</v>
      </c>
      <c r="C42" s="133">
        <v>0</v>
      </c>
      <c r="D42" s="133">
        <v>0</v>
      </c>
      <c r="E42" s="133">
        <v>0</v>
      </c>
      <c r="F42" s="133">
        <v>0</v>
      </c>
      <c r="G42" s="134">
        <f t="shared" si="0"/>
        <v>0</v>
      </c>
      <c r="H42" s="134">
        <f t="shared" si="1"/>
        <v>10814</v>
      </c>
    </row>
    <row r="43" spans="1:8" x14ac:dyDescent="0.2">
      <c r="A43" s="131">
        <v>33</v>
      </c>
      <c r="B43" s="131" t="s">
        <v>187</v>
      </c>
      <c r="C43" s="133">
        <v>0</v>
      </c>
      <c r="D43" s="133">
        <v>0</v>
      </c>
      <c r="E43" s="133">
        <v>0</v>
      </c>
      <c r="F43" s="133">
        <v>0</v>
      </c>
      <c r="G43" s="134">
        <f t="shared" si="0"/>
        <v>0</v>
      </c>
      <c r="H43" s="134">
        <f t="shared" si="1"/>
        <v>10814</v>
      </c>
    </row>
    <row r="44" spans="1:8" x14ac:dyDescent="0.2">
      <c r="A44" s="131">
        <v>34</v>
      </c>
      <c r="B44" s="131" t="s">
        <v>188</v>
      </c>
      <c r="C44" s="133">
        <v>0</v>
      </c>
      <c r="D44" s="133">
        <v>0</v>
      </c>
      <c r="E44" s="133">
        <v>0</v>
      </c>
      <c r="F44" s="133">
        <v>0</v>
      </c>
      <c r="G44" s="134">
        <f t="shared" si="0"/>
        <v>0</v>
      </c>
      <c r="H44" s="134">
        <f t="shared" si="1"/>
        <v>10814</v>
      </c>
    </row>
    <row r="45" spans="1:8" x14ac:dyDescent="0.2">
      <c r="A45" s="131" t="s">
        <v>197</v>
      </c>
      <c r="B45" s="131" t="s">
        <v>189</v>
      </c>
      <c r="C45" s="133">
        <v>141</v>
      </c>
      <c r="D45" s="133">
        <v>0</v>
      </c>
      <c r="E45" s="133">
        <v>0</v>
      </c>
      <c r="F45" s="133">
        <v>0</v>
      </c>
      <c r="G45" s="134">
        <f t="shared" si="0"/>
        <v>141</v>
      </c>
      <c r="H45" s="134">
        <f t="shared" si="1"/>
        <v>10955</v>
      </c>
    </row>
    <row r="46" spans="1:8" x14ac:dyDescent="0.2">
      <c r="A46" s="131">
        <v>36</v>
      </c>
      <c r="B46" s="131" t="s">
        <v>191</v>
      </c>
      <c r="C46" s="133">
        <v>0</v>
      </c>
      <c r="D46" s="133">
        <v>0</v>
      </c>
      <c r="E46" s="133">
        <v>0</v>
      </c>
      <c r="F46" s="133">
        <v>0</v>
      </c>
      <c r="G46" s="134">
        <f t="shared" si="0"/>
        <v>0</v>
      </c>
      <c r="H46" s="134">
        <f t="shared" si="1"/>
        <v>10955</v>
      </c>
    </row>
    <row r="47" spans="1:8" x14ac:dyDescent="0.2">
      <c r="A47" s="131">
        <v>37</v>
      </c>
      <c r="B47" s="131" t="s">
        <v>192</v>
      </c>
      <c r="C47" s="133">
        <v>0</v>
      </c>
      <c r="D47" s="133">
        <v>0</v>
      </c>
      <c r="E47" s="133">
        <v>0</v>
      </c>
      <c r="F47" s="133">
        <v>0</v>
      </c>
      <c r="G47" s="134">
        <f t="shared" si="0"/>
        <v>0</v>
      </c>
      <c r="H47" s="134">
        <f t="shared" si="1"/>
        <v>10955</v>
      </c>
    </row>
    <row r="48" spans="1:8" x14ac:dyDescent="0.2">
      <c r="A48" s="131">
        <v>38</v>
      </c>
      <c r="B48" s="131" t="s">
        <v>193</v>
      </c>
      <c r="C48" s="133">
        <v>0</v>
      </c>
      <c r="D48" s="133">
        <v>0</v>
      </c>
      <c r="E48" s="133">
        <v>0</v>
      </c>
      <c r="F48" s="133">
        <v>0</v>
      </c>
      <c r="G48" s="134">
        <f t="shared" si="0"/>
        <v>0</v>
      </c>
      <c r="H48" s="134">
        <f t="shared" si="1"/>
        <v>10955</v>
      </c>
    </row>
    <row r="49" spans="1:8" x14ac:dyDescent="0.2">
      <c r="A49" s="131">
        <v>39</v>
      </c>
      <c r="B49" s="131" t="s">
        <v>195</v>
      </c>
      <c r="C49" s="133">
        <v>0</v>
      </c>
      <c r="D49" s="133">
        <v>0</v>
      </c>
      <c r="E49" s="133">
        <v>0</v>
      </c>
      <c r="F49" s="133">
        <v>0</v>
      </c>
      <c r="G49" s="134">
        <f t="shared" si="0"/>
        <v>0</v>
      </c>
      <c r="H49" s="134">
        <f t="shared" si="1"/>
        <v>10955</v>
      </c>
    </row>
    <row r="50" spans="1:8" x14ac:dyDescent="0.2">
      <c r="A50" s="131">
        <v>40</v>
      </c>
      <c r="B50" s="131" t="s">
        <v>198</v>
      </c>
      <c r="C50" s="133">
        <v>0</v>
      </c>
      <c r="D50" s="133">
        <v>0</v>
      </c>
      <c r="E50" s="133">
        <v>149</v>
      </c>
      <c r="F50" s="133">
        <v>0</v>
      </c>
      <c r="G50" s="134">
        <f t="shared" si="0"/>
        <v>149</v>
      </c>
      <c r="H50" s="134">
        <f t="shared" si="1"/>
        <v>11104</v>
      </c>
    </row>
    <row r="51" spans="1:8" x14ac:dyDescent="0.2">
      <c r="A51" s="131">
        <v>41</v>
      </c>
      <c r="B51" s="131" t="s">
        <v>201</v>
      </c>
      <c r="C51" s="133">
        <v>0</v>
      </c>
      <c r="D51" s="133">
        <v>0</v>
      </c>
      <c r="E51" s="133">
        <v>0</v>
      </c>
      <c r="F51" s="133">
        <v>0</v>
      </c>
      <c r="G51" s="134">
        <f t="shared" si="0"/>
        <v>0</v>
      </c>
      <c r="H51" s="134">
        <f t="shared" si="1"/>
        <v>11104</v>
      </c>
    </row>
    <row r="52" spans="1:8" x14ac:dyDescent="0.2">
      <c r="A52" s="131">
        <v>42</v>
      </c>
      <c r="B52" s="131" t="s">
        <v>202</v>
      </c>
      <c r="C52" s="133">
        <v>0</v>
      </c>
      <c r="D52" s="133">
        <v>0</v>
      </c>
      <c r="E52" s="133">
        <v>0</v>
      </c>
      <c r="F52" s="133">
        <v>0</v>
      </c>
      <c r="G52" s="134">
        <f t="shared" si="0"/>
        <v>0</v>
      </c>
      <c r="H52" s="134">
        <f t="shared" si="1"/>
        <v>11104</v>
      </c>
    </row>
    <row r="53" spans="1:8" x14ac:dyDescent="0.2">
      <c r="A53" s="131">
        <v>43</v>
      </c>
      <c r="B53" s="131" t="s">
        <v>204</v>
      </c>
      <c r="C53" s="133">
        <v>0</v>
      </c>
      <c r="D53" s="133">
        <v>0</v>
      </c>
      <c r="E53" s="133">
        <v>0</v>
      </c>
      <c r="F53" s="133">
        <v>0</v>
      </c>
      <c r="G53" s="134">
        <f t="shared" si="0"/>
        <v>0</v>
      </c>
      <c r="H53" s="134">
        <f t="shared" si="1"/>
        <v>11104</v>
      </c>
    </row>
    <row r="54" spans="1:8" x14ac:dyDescent="0.2">
      <c r="A54" s="131">
        <v>44</v>
      </c>
      <c r="B54" s="131" t="s">
        <v>206</v>
      </c>
      <c r="C54" s="133">
        <v>0</v>
      </c>
      <c r="D54" s="133">
        <v>0</v>
      </c>
      <c r="E54" s="133">
        <v>0</v>
      </c>
      <c r="F54" s="133">
        <v>0</v>
      </c>
      <c r="G54" s="134">
        <f t="shared" si="0"/>
        <v>0</v>
      </c>
      <c r="H54" s="134">
        <f t="shared" si="1"/>
        <v>11104</v>
      </c>
    </row>
    <row r="55" spans="1:8" x14ac:dyDescent="0.2">
      <c r="A55" s="131">
        <v>45</v>
      </c>
      <c r="B55" s="131" t="s">
        <v>207</v>
      </c>
      <c r="C55" s="133">
        <v>0</v>
      </c>
      <c r="D55" s="133">
        <v>0</v>
      </c>
      <c r="E55" s="133">
        <v>0</v>
      </c>
      <c r="F55" s="133">
        <v>429</v>
      </c>
      <c r="G55" s="134">
        <f t="shared" si="0"/>
        <v>429</v>
      </c>
      <c r="H55" s="134">
        <f t="shared" si="1"/>
        <v>11533</v>
      </c>
    </row>
    <row r="56" spans="1:8" x14ac:dyDescent="0.2">
      <c r="A56" s="131">
        <v>46</v>
      </c>
      <c r="B56" s="131" t="s">
        <v>208</v>
      </c>
      <c r="C56" s="133">
        <v>0</v>
      </c>
      <c r="D56" s="133">
        <v>0</v>
      </c>
      <c r="E56" s="133">
        <v>0</v>
      </c>
      <c r="F56" s="133">
        <v>0</v>
      </c>
      <c r="G56" s="134">
        <f t="shared" si="0"/>
        <v>0</v>
      </c>
      <c r="H56" s="134">
        <f t="shared" si="1"/>
        <v>11533</v>
      </c>
    </row>
    <row r="57" spans="1:8" x14ac:dyDescent="0.2">
      <c r="A57" s="131">
        <v>47</v>
      </c>
      <c r="B57" s="131" t="s">
        <v>209</v>
      </c>
      <c r="C57" s="133">
        <v>0</v>
      </c>
      <c r="D57" s="133">
        <v>0</v>
      </c>
      <c r="E57" s="133">
        <v>0</v>
      </c>
      <c r="F57" s="133">
        <v>0</v>
      </c>
      <c r="G57" s="134">
        <f t="shared" si="0"/>
        <v>0</v>
      </c>
      <c r="H57" s="134">
        <f t="shared" si="1"/>
        <v>11533</v>
      </c>
    </row>
    <row r="58" spans="1:8" x14ac:dyDescent="0.2">
      <c r="A58" s="131">
        <v>48</v>
      </c>
      <c r="B58" s="131" t="s">
        <v>211</v>
      </c>
      <c r="C58" s="133">
        <v>0</v>
      </c>
      <c r="D58" s="133">
        <v>0</v>
      </c>
      <c r="E58" s="133">
        <v>0</v>
      </c>
      <c r="F58" s="133">
        <v>0</v>
      </c>
      <c r="G58" s="134">
        <f t="shared" si="0"/>
        <v>0</v>
      </c>
      <c r="H58" s="134">
        <f t="shared" si="1"/>
        <v>11533</v>
      </c>
    </row>
    <row r="59" spans="1:8" x14ac:dyDescent="0.2">
      <c r="A59" s="131">
        <v>49</v>
      </c>
      <c r="B59" s="131" t="s">
        <v>213</v>
      </c>
      <c r="C59" s="133">
        <v>0</v>
      </c>
      <c r="D59" s="133">
        <v>0</v>
      </c>
      <c r="E59" s="133">
        <v>0</v>
      </c>
      <c r="F59" s="133">
        <v>0</v>
      </c>
      <c r="G59" s="134">
        <f t="shared" si="0"/>
        <v>0</v>
      </c>
      <c r="H59" s="134">
        <f t="shared" si="1"/>
        <v>11533</v>
      </c>
    </row>
    <row r="60" spans="1:8" x14ac:dyDescent="0.2">
      <c r="A60" s="131">
        <v>50</v>
      </c>
      <c r="B60" s="131" t="s">
        <v>214</v>
      </c>
      <c r="C60" s="133">
        <v>0</v>
      </c>
      <c r="D60" s="133">
        <v>0</v>
      </c>
      <c r="E60" s="133">
        <v>0</v>
      </c>
      <c r="F60" s="133">
        <v>0</v>
      </c>
      <c r="G60" s="134">
        <f t="shared" si="0"/>
        <v>0</v>
      </c>
      <c r="H60" s="134">
        <f t="shared" si="1"/>
        <v>11533</v>
      </c>
    </row>
    <row r="61" spans="1:8" x14ac:dyDescent="0.2">
      <c r="A61" s="131">
        <v>51</v>
      </c>
      <c r="B61" s="131" t="s">
        <v>217</v>
      </c>
      <c r="C61" s="133">
        <v>0</v>
      </c>
      <c r="D61" s="133">
        <v>0</v>
      </c>
      <c r="E61" s="133">
        <v>0</v>
      </c>
      <c r="F61" s="133">
        <v>0</v>
      </c>
      <c r="G61" s="134">
        <f t="shared" si="0"/>
        <v>0</v>
      </c>
      <c r="H61" s="134">
        <f t="shared" si="1"/>
        <v>11533</v>
      </c>
    </row>
    <row r="62" spans="1:8" x14ac:dyDescent="0.2">
      <c r="A62" s="131">
        <v>52</v>
      </c>
      <c r="B62" s="131" t="s">
        <v>218</v>
      </c>
      <c r="C62" s="133">
        <v>0</v>
      </c>
      <c r="D62" s="133">
        <v>0</v>
      </c>
      <c r="E62" s="133">
        <v>0</v>
      </c>
      <c r="F62" s="133">
        <v>0</v>
      </c>
      <c r="G62" s="134">
        <f t="shared" si="0"/>
        <v>0</v>
      </c>
      <c r="H62" s="134">
        <f t="shared" si="1"/>
        <v>11533</v>
      </c>
    </row>
    <row r="63" spans="1:8" x14ac:dyDescent="0.2">
      <c r="A63" s="131" t="s">
        <v>116</v>
      </c>
      <c r="B63" s="131" t="s">
        <v>117</v>
      </c>
      <c r="C63" s="134">
        <f>SUM(C11:C62)</f>
        <v>2661</v>
      </c>
      <c r="D63" s="134">
        <f>SUM(D11:D62)</f>
        <v>8294</v>
      </c>
      <c r="E63" s="134">
        <f>SUM(E11:E62)</f>
        <v>149</v>
      </c>
      <c r="F63" s="134">
        <f>SUM(F11:F62)</f>
        <v>429</v>
      </c>
      <c r="G63" s="134">
        <f>SUM(G11:G62)</f>
        <v>11533</v>
      </c>
      <c r="H63" s="134"/>
    </row>
    <row r="65" spans="1:1" x14ac:dyDescent="0.2">
      <c r="A65" t="s">
        <v>219</v>
      </c>
    </row>
  </sheetData>
  <mergeCells count="3">
    <mergeCell ref="A7:H7"/>
    <mergeCell ref="A8:H8"/>
    <mergeCell ref="A9:H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65"/>
  <sheetViews>
    <sheetView topLeftCell="A39" workbookViewId="0">
      <selection activeCell="A7" sqref="A7:K65"/>
    </sheetView>
  </sheetViews>
  <sheetFormatPr defaultRowHeight="12.75" x14ac:dyDescent="0.2"/>
  <cols>
    <col min="1" max="1" width="15.5703125" customWidth="1"/>
    <col min="2" max="2" width="27.7109375" customWidth="1"/>
    <col min="3" max="3" width="17.28515625" customWidth="1"/>
    <col min="4" max="4" width="13.7109375" customWidth="1"/>
    <col min="5" max="5" width="17.7109375" customWidth="1"/>
    <col min="6" max="9" width="11.140625" bestFit="1" customWidth="1"/>
  </cols>
  <sheetData>
    <row r="1" spans="1:11" s="69" customFormat="1" ht="15.75" x14ac:dyDescent="0.25">
      <c r="A1" s="68" t="s">
        <v>164</v>
      </c>
    </row>
    <row r="2" spans="1:11" s="69" customFormat="1" ht="15.75" x14ac:dyDescent="0.25">
      <c r="A2" s="68" t="s">
        <v>165</v>
      </c>
    </row>
    <row r="3" spans="1:11" s="69" customFormat="1" ht="15" x14ac:dyDescent="0.2"/>
    <row r="4" spans="1:11" s="69" customFormat="1" ht="15" x14ac:dyDescent="0.2">
      <c r="A4" s="123" t="s">
        <v>127</v>
      </c>
      <c r="B4" s="99" t="e">
        <f>#REF!</f>
        <v>#REF!</v>
      </c>
    </row>
    <row r="5" spans="1:11" s="69" customFormat="1" ht="15" x14ac:dyDescent="0.2">
      <c r="A5" s="123" t="s">
        <v>123</v>
      </c>
      <c r="B5" s="70" t="e">
        <f>B4</f>
        <v>#REF!</v>
      </c>
    </row>
    <row r="7" spans="1:11" ht="15.75" x14ac:dyDescent="0.25">
      <c r="A7" s="216" t="s">
        <v>215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5.75" x14ac:dyDescent="0.25">
      <c r="A8" s="216" t="s">
        <v>199</v>
      </c>
      <c r="B8" s="217"/>
      <c r="C8" s="217"/>
      <c r="D8" s="217"/>
      <c r="E8" s="217"/>
      <c r="F8" s="217"/>
      <c r="G8" s="217"/>
      <c r="H8" s="217"/>
      <c r="I8" s="217"/>
      <c r="J8" s="217"/>
      <c r="K8" s="218"/>
    </row>
    <row r="9" spans="1:11" x14ac:dyDescent="0.2">
      <c r="A9" s="219" t="s">
        <v>116</v>
      </c>
      <c r="B9" s="220"/>
      <c r="C9" s="220"/>
      <c r="D9" s="220"/>
      <c r="E9" s="220"/>
      <c r="F9" s="220"/>
      <c r="G9" s="220"/>
      <c r="H9" s="220"/>
      <c r="I9" s="220"/>
      <c r="J9" s="220"/>
      <c r="K9" s="221"/>
    </row>
    <row r="10" spans="1:11" x14ac:dyDescent="0.2">
      <c r="A10" s="132"/>
      <c r="B10" s="132" t="s">
        <v>114</v>
      </c>
      <c r="C10" s="132" t="s">
        <v>216</v>
      </c>
      <c r="D10" s="132" t="s">
        <v>162</v>
      </c>
      <c r="E10" s="132" t="s">
        <v>177</v>
      </c>
      <c r="F10" s="132" t="s">
        <v>166</v>
      </c>
      <c r="G10" s="132" t="s">
        <v>167</v>
      </c>
      <c r="H10" s="132" t="s">
        <v>212</v>
      </c>
      <c r="I10" s="132" t="s">
        <v>163</v>
      </c>
      <c r="J10" s="132" t="s">
        <v>142</v>
      </c>
      <c r="K10" s="132" t="s">
        <v>142</v>
      </c>
    </row>
    <row r="11" spans="1:11" x14ac:dyDescent="0.2">
      <c r="A11" s="131">
        <v>1</v>
      </c>
      <c r="B11" s="131" t="s">
        <v>125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4">
        <f t="shared" ref="J11:J62" si="0">SUM(C11:I11)</f>
        <v>0</v>
      </c>
      <c r="K11" s="134">
        <f>J11</f>
        <v>0</v>
      </c>
    </row>
    <row r="12" spans="1:11" x14ac:dyDescent="0.2">
      <c r="A12" s="131">
        <v>2</v>
      </c>
      <c r="B12" s="131" t="s">
        <v>132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136</v>
      </c>
      <c r="J12" s="134">
        <f t="shared" si="0"/>
        <v>136</v>
      </c>
      <c r="K12" s="134">
        <f t="shared" ref="K12:K62" si="1">J12+K11</f>
        <v>136</v>
      </c>
    </row>
    <row r="13" spans="1:11" x14ac:dyDescent="0.2">
      <c r="A13" s="131">
        <v>3</v>
      </c>
      <c r="B13" s="131" t="s">
        <v>133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483</v>
      </c>
      <c r="J13" s="134">
        <f t="shared" si="0"/>
        <v>483</v>
      </c>
      <c r="K13" s="134">
        <f t="shared" si="1"/>
        <v>619</v>
      </c>
    </row>
    <row r="14" spans="1:11" x14ac:dyDescent="0.2">
      <c r="A14" s="131">
        <v>4</v>
      </c>
      <c r="B14" s="131" t="s">
        <v>134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515</v>
      </c>
      <c r="J14" s="134">
        <f t="shared" si="0"/>
        <v>515</v>
      </c>
      <c r="K14" s="134">
        <f t="shared" si="1"/>
        <v>1134</v>
      </c>
    </row>
    <row r="15" spans="1:11" x14ac:dyDescent="0.2">
      <c r="A15" s="131">
        <v>5</v>
      </c>
      <c r="B15" s="131" t="s">
        <v>135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4">
        <f t="shared" si="0"/>
        <v>0</v>
      </c>
      <c r="K15" s="134">
        <f t="shared" si="1"/>
        <v>1134</v>
      </c>
    </row>
    <row r="16" spans="1:11" x14ac:dyDescent="0.2">
      <c r="A16" s="131">
        <v>6</v>
      </c>
      <c r="B16" s="131" t="s">
        <v>136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957</v>
      </c>
      <c r="J16" s="134">
        <f t="shared" si="0"/>
        <v>957</v>
      </c>
      <c r="K16" s="134">
        <f t="shared" si="1"/>
        <v>2091</v>
      </c>
    </row>
    <row r="17" spans="1:11" x14ac:dyDescent="0.2">
      <c r="A17" s="131">
        <v>7</v>
      </c>
      <c r="B17" s="131" t="s">
        <v>137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4">
        <f t="shared" si="0"/>
        <v>0</v>
      </c>
      <c r="K17" s="134">
        <f t="shared" si="1"/>
        <v>2091</v>
      </c>
    </row>
    <row r="18" spans="1:11" x14ac:dyDescent="0.2">
      <c r="A18" s="131">
        <v>8</v>
      </c>
      <c r="B18" s="131" t="s">
        <v>138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1240</v>
      </c>
      <c r="J18" s="134">
        <f t="shared" si="0"/>
        <v>1240</v>
      </c>
      <c r="K18" s="134">
        <f t="shared" si="1"/>
        <v>3331</v>
      </c>
    </row>
    <row r="19" spans="1:11" x14ac:dyDescent="0.2">
      <c r="A19" s="131">
        <v>9</v>
      </c>
      <c r="B19" s="131" t="s">
        <v>139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4">
        <f t="shared" si="0"/>
        <v>0</v>
      </c>
      <c r="K19" s="134">
        <f t="shared" si="1"/>
        <v>3331</v>
      </c>
    </row>
    <row r="20" spans="1:11" x14ac:dyDescent="0.2">
      <c r="A20" s="131">
        <v>10</v>
      </c>
      <c r="B20" s="131" t="s">
        <v>140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4">
        <f t="shared" si="0"/>
        <v>0</v>
      </c>
      <c r="K20" s="134">
        <f t="shared" si="1"/>
        <v>3331</v>
      </c>
    </row>
    <row r="21" spans="1:11" x14ac:dyDescent="0.2">
      <c r="A21" s="131">
        <v>11</v>
      </c>
      <c r="B21" s="131" t="s">
        <v>141</v>
      </c>
      <c r="C21" s="133">
        <v>0</v>
      </c>
      <c r="D21" s="133">
        <v>529</v>
      </c>
      <c r="E21" s="133">
        <v>0</v>
      </c>
      <c r="F21" s="133">
        <v>0</v>
      </c>
      <c r="G21" s="133">
        <v>0</v>
      </c>
      <c r="H21" s="133">
        <v>0</v>
      </c>
      <c r="I21" s="133">
        <v>4993</v>
      </c>
      <c r="J21" s="134">
        <f t="shared" si="0"/>
        <v>5522</v>
      </c>
      <c r="K21" s="134">
        <f t="shared" si="1"/>
        <v>8853</v>
      </c>
    </row>
    <row r="22" spans="1:11" x14ac:dyDescent="0.2">
      <c r="A22" s="131">
        <v>12</v>
      </c>
      <c r="B22" s="131" t="s">
        <v>143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4">
        <f t="shared" si="0"/>
        <v>0</v>
      </c>
      <c r="K22" s="134">
        <f t="shared" si="1"/>
        <v>8853</v>
      </c>
    </row>
    <row r="23" spans="1:11" x14ac:dyDescent="0.2">
      <c r="A23" s="131">
        <v>13</v>
      </c>
      <c r="B23" s="131" t="s">
        <v>146</v>
      </c>
      <c r="C23" s="133">
        <v>0</v>
      </c>
      <c r="D23" s="133">
        <v>3080</v>
      </c>
      <c r="E23" s="133">
        <v>0</v>
      </c>
      <c r="F23" s="133">
        <v>0</v>
      </c>
      <c r="G23" s="133">
        <v>0</v>
      </c>
      <c r="H23" s="133">
        <v>0</v>
      </c>
      <c r="I23" s="133">
        <v>7</v>
      </c>
      <c r="J23" s="134">
        <f t="shared" si="0"/>
        <v>3087</v>
      </c>
      <c r="K23" s="134">
        <f t="shared" si="1"/>
        <v>11940</v>
      </c>
    </row>
    <row r="24" spans="1:11" x14ac:dyDescent="0.2">
      <c r="A24" s="131">
        <v>14</v>
      </c>
      <c r="B24" s="131" t="s">
        <v>150</v>
      </c>
      <c r="C24" s="133">
        <v>0</v>
      </c>
      <c r="D24" s="133">
        <v>4366</v>
      </c>
      <c r="E24" s="133">
        <v>0</v>
      </c>
      <c r="F24" s="133">
        <v>0</v>
      </c>
      <c r="G24" s="133">
        <v>0</v>
      </c>
      <c r="H24" s="133">
        <v>0</v>
      </c>
      <c r="I24" s="133">
        <v>4183</v>
      </c>
      <c r="J24" s="134">
        <f t="shared" si="0"/>
        <v>8549</v>
      </c>
      <c r="K24" s="134">
        <f t="shared" si="1"/>
        <v>20489</v>
      </c>
    </row>
    <row r="25" spans="1:11" x14ac:dyDescent="0.2">
      <c r="A25" s="131">
        <v>15</v>
      </c>
      <c r="B25" s="131" t="s">
        <v>151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4">
        <f t="shared" si="0"/>
        <v>0</v>
      </c>
      <c r="K25" s="134">
        <f t="shared" si="1"/>
        <v>20489</v>
      </c>
    </row>
    <row r="26" spans="1:11" x14ac:dyDescent="0.2">
      <c r="A26" s="131">
        <v>16</v>
      </c>
      <c r="B26" s="131" t="s">
        <v>157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8116</v>
      </c>
      <c r="J26" s="134">
        <f t="shared" si="0"/>
        <v>8116</v>
      </c>
      <c r="K26" s="134">
        <f t="shared" si="1"/>
        <v>28605</v>
      </c>
    </row>
    <row r="27" spans="1:11" x14ac:dyDescent="0.2">
      <c r="A27" s="131">
        <v>17</v>
      </c>
      <c r="B27" s="131" t="s">
        <v>158</v>
      </c>
      <c r="C27" s="133">
        <v>0</v>
      </c>
      <c r="D27" s="133">
        <v>749</v>
      </c>
      <c r="E27" s="133">
        <v>0</v>
      </c>
      <c r="F27" s="133">
        <v>0</v>
      </c>
      <c r="G27" s="133">
        <v>0</v>
      </c>
      <c r="H27" s="133">
        <v>0</v>
      </c>
      <c r="I27" s="133">
        <v>8613</v>
      </c>
      <c r="J27" s="134">
        <f t="shared" si="0"/>
        <v>9362</v>
      </c>
      <c r="K27" s="134">
        <f t="shared" si="1"/>
        <v>37967</v>
      </c>
    </row>
    <row r="28" spans="1:11" x14ac:dyDescent="0.2">
      <c r="A28" s="131">
        <v>18</v>
      </c>
      <c r="B28" s="131" t="s">
        <v>159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7858</v>
      </c>
      <c r="J28" s="134">
        <f t="shared" si="0"/>
        <v>7858</v>
      </c>
      <c r="K28" s="134">
        <f t="shared" si="1"/>
        <v>45825</v>
      </c>
    </row>
    <row r="29" spans="1:11" x14ac:dyDescent="0.2">
      <c r="A29" s="131">
        <v>19</v>
      </c>
      <c r="B29" s="131" t="s">
        <v>170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5356</v>
      </c>
      <c r="J29" s="134">
        <f t="shared" si="0"/>
        <v>5356</v>
      </c>
      <c r="K29" s="134">
        <f t="shared" si="1"/>
        <v>51181</v>
      </c>
    </row>
    <row r="30" spans="1:11" x14ac:dyDescent="0.2">
      <c r="A30" s="131">
        <v>20</v>
      </c>
      <c r="B30" s="131" t="s">
        <v>171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3639</v>
      </c>
      <c r="J30" s="134">
        <f t="shared" si="0"/>
        <v>3639</v>
      </c>
      <c r="K30" s="134">
        <f t="shared" si="1"/>
        <v>54820</v>
      </c>
    </row>
    <row r="31" spans="1:11" x14ac:dyDescent="0.2">
      <c r="A31" s="131">
        <v>21</v>
      </c>
      <c r="B31" s="131" t="s">
        <v>172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4297</v>
      </c>
      <c r="J31" s="134">
        <f t="shared" si="0"/>
        <v>4297</v>
      </c>
      <c r="K31" s="134">
        <f t="shared" si="1"/>
        <v>59117</v>
      </c>
    </row>
    <row r="32" spans="1:11" x14ac:dyDescent="0.2">
      <c r="A32" s="131">
        <v>22</v>
      </c>
      <c r="B32" s="131" t="s">
        <v>173</v>
      </c>
      <c r="C32" s="133">
        <v>0</v>
      </c>
      <c r="D32" s="133">
        <v>2369</v>
      </c>
      <c r="E32" s="133">
        <v>68</v>
      </c>
      <c r="F32" s="133">
        <v>0</v>
      </c>
      <c r="G32" s="133">
        <v>0</v>
      </c>
      <c r="H32" s="133">
        <v>0</v>
      </c>
      <c r="I32" s="133">
        <v>8532</v>
      </c>
      <c r="J32" s="134">
        <f t="shared" si="0"/>
        <v>10969</v>
      </c>
      <c r="K32" s="134">
        <f t="shared" si="1"/>
        <v>70086</v>
      </c>
    </row>
    <row r="33" spans="1:11" x14ac:dyDescent="0.2">
      <c r="A33" s="131">
        <v>23</v>
      </c>
      <c r="B33" s="131" t="s">
        <v>174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10</v>
      </c>
      <c r="J33" s="134">
        <f t="shared" si="0"/>
        <v>10</v>
      </c>
      <c r="K33" s="134">
        <f t="shared" si="1"/>
        <v>70096</v>
      </c>
    </row>
    <row r="34" spans="1:11" x14ac:dyDescent="0.2">
      <c r="A34" s="131">
        <v>24</v>
      </c>
      <c r="B34" s="131" t="s">
        <v>175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1184</v>
      </c>
      <c r="J34" s="134">
        <f t="shared" si="0"/>
        <v>1184</v>
      </c>
      <c r="K34" s="134">
        <f t="shared" si="1"/>
        <v>71280</v>
      </c>
    </row>
    <row r="35" spans="1:11" x14ac:dyDescent="0.2">
      <c r="A35" s="131">
        <v>25</v>
      </c>
      <c r="B35" s="131" t="s">
        <v>176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3085</v>
      </c>
      <c r="J35" s="134">
        <f t="shared" si="0"/>
        <v>3085</v>
      </c>
      <c r="K35" s="134">
        <f t="shared" si="1"/>
        <v>74365</v>
      </c>
    </row>
    <row r="36" spans="1:11" x14ac:dyDescent="0.2">
      <c r="A36" s="131">
        <v>26</v>
      </c>
      <c r="B36" s="131" t="s">
        <v>178</v>
      </c>
      <c r="C36" s="133">
        <v>0</v>
      </c>
      <c r="D36" s="133">
        <v>1760</v>
      </c>
      <c r="E36" s="133">
        <v>0</v>
      </c>
      <c r="F36" s="133">
        <v>0</v>
      </c>
      <c r="G36" s="133">
        <v>0</v>
      </c>
      <c r="H36" s="133">
        <v>0</v>
      </c>
      <c r="I36" s="133">
        <v>11964</v>
      </c>
      <c r="J36" s="134">
        <f t="shared" si="0"/>
        <v>13724</v>
      </c>
      <c r="K36" s="134">
        <f t="shared" si="1"/>
        <v>88089</v>
      </c>
    </row>
    <row r="37" spans="1:11" x14ac:dyDescent="0.2">
      <c r="A37" s="131">
        <v>27</v>
      </c>
      <c r="B37" s="131" t="s">
        <v>179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1973</v>
      </c>
      <c r="J37" s="134">
        <f t="shared" si="0"/>
        <v>1973</v>
      </c>
      <c r="K37" s="134">
        <f t="shared" si="1"/>
        <v>90062</v>
      </c>
    </row>
    <row r="38" spans="1:11" x14ac:dyDescent="0.2">
      <c r="A38" s="131">
        <v>28</v>
      </c>
      <c r="B38" s="131" t="s">
        <v>180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470</v>
      </c>
      <c r="J38" s="134">
        <f t="shared" si="0"/>
        <v>470</v>
      </c>
      <c r="K38" s="134">
        <f t="shared" si="1"/>
        <v>90532</v>
      </c>
    </row>
    <row r="39" spans="1:11" x14ac:dyDescent="0.2">
      <c r="A39" s="131">
        <v>29</v>
      </c>
      <c r="B39" s="131" t="s">
        <v>181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7009</v>
      </c>
      <c r="J39" s="134">
        <f t="shared" si="0"/>
        <v>7009</v>
      </c>
      <c r="K39" s="134">
        <f t="shared" si="1"/>
        <v>97541</v>
      </c>
    </row>
    <row r="40" spans="1:11" x14ac:dyDescent="0.2">
      <c r="A40" s="131">
        <v>30</v>
      </c>
      <c r="B40" s="131" t="s">
        <v>183</v>
      </c>
      <c r="C40" s="133">
        <v>0</v>
      </c>
      <c r="D40" s="133">
        <v>6175</v>
      </c>
      <c r="E40" s="133">
        <v>0</v>
      </c>
      <c r="F40" s="133">
        <v>0</v>
      </c>
      <c r="G40" s="133">
        <v>0</v>
      </c>
      <c r="H40" s="133">
        <v>0</v>
      </c>
      <c r="I40" s="133">
        <v>10366</v>
      </c>
      <c r="J40" s="134">
        <f t="shared" si="0"/>
        <v>16541</v>
      </c>
      <c r="K40" s="134">
        <f t="shared" si="1"/>
        <v>114082</v>
      </c>
    </row>
    <row r="41" spans="1:11" x14ac:dyDescent="0.2">
      <c r="A41" s="131">
        <v>31</v>
      </c>
      <c r="B41" s="131" t="s">
        <v>185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1769</v>
      </c>
      <c r="J41" s="134">
        <f t="shared" si="0"/>
        <v>1769</v>
      </c>
      <c r="K41" s="134">
        <f t="shared" si="1"/>
        <v>115851</v>
      </c>
    </row>
    <row r="42" spans="1:11" x14ac:dyDescent="0.2">
      <c r="A42" s="131">
        <v>32</v>
      </c>
      <c r="B42" s="131" t="s">
        <v>186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4">
        <f t="shared" si="0"/>
        <v>0</v>
      </c>
      <c r="K42" s="134">
        <f t="shared" si="1"/>
        <v>115851</v>
      </c>
    </row>
    <row r="43" spans="1:11" x14ac:dyDescent="0.2">
      <c r="A43" s="131">
        <v>33</v>
      </c>
      <c r="B43" s="131" t="s">
        <v>187</v>
      </c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4">
        <f t="shared" si="0"/>
        <v>0</v>
      </c>
      <c r="K43" s="134">
        <f t="shared" si="1"/>
        <v>115851</v>
      </c>
    </row>
    <row r="44" spans="1:11" x14ac:dyDescent="0.2">
      <c r="A44" s="131">
        <v>34</v>
      </c>
      <c r="B44" s="131" t="s">
        <v>188</v>
      </c>
      <c r="C44" s="133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4">
        <f t="shared" si="0"/>
        <v>0</v>
      </c>
      <c r="K44" s="134">
        <f t="shared" si="1"/>
        <v>115851</v>
      </c>
    </row>
    <row r="45" spans="1:11" x14ac:dyDescent="0.2">
      <c r="A45" s="131" t="s">
        <v>197</v>
      </c>
      <c r="B45" s="131" t="s">
        <v>189</v>
      </c>
      <c r="C45" s="133">
        <v>0</v>
      </c>
      <c r="D45" s="133">
        <v>10368</v>
      </c>
      <c r="E45" s="133">
        <v>0</v>
      </c>
      <c r="F45" s="133">
        <v>0</v>
      </c>
      <c r="G45" s="133">
        <v>300</v>
      </c>
      <c r="H45" s="133">
        <v>0</v>
      </c>
      <c r="I45" s="133">
        <v>13837</v>
      </c>
      <c r="J45" s="134">
        <f t="shared" si="0"/>
        <v>24505</v>
      </c>
      <c r="K45" s="134">
        <f t="shared" si="1"/>
        <v>140356</v>
      </c>
    </row>
    <row r="46" spans="1:11" x14ac:dyDescent="0.2">
      <c r="A46" s="131">
        <v>36</v>
      </c>
      <c r="B46" s="131" t="s">
        <v>191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1688</v>
      </c>
      <c r="J46" s="134">
        <f t="shared" si="0"/>
        <v>1688</v>
      </c>
      <c r="K46" s="134">
        <f t="shared" si="1"/>
        <v>142044</v>
      </c>
    </row>
    <row r="47" spans="1:11" x14ac:dyDescent="0.2">
      <c r="A47" s="131">
        <v>37</v>
      </c>
      <c r="B47" s="131" t="s">
        <v>192</v>
      </c>
      <c r="C47" s="133">
        <v>0</v>
      </c>
      <c r="D47" s="133">
        <v>0</v>
      </c>
      <c r="E47" s="133">
        <v>0</v>
      </c>
      <c r="F47" s="133">
        <v>0</v>
      </c>
      <c r="G47" s="133">
        <v>407</v>
      </c>
      <c r="H47" s="133">
        <v>0</v>
      </c>
      <c r="I47" s="133">
        <v>2125</v>
      </c>
      <c r="J47" s="134">
        <f t="shared" si="0"/>
        <v>2532</v>
      </c>
      <c r="K47" s="134">
        <f t="shared" si="1"/>
        <v>144576</v>
      </c>
    </row>
    <row r="48" spans="1:11" x14ac:dyDescent="0.2">
      <c r="A48" s="131">
        <v>38</v>
      </c>
      <c r="B48" s="131" t="s">
        <v>193</v>
      </c>
      <c r="C48" s="133">
        <v>0</v>
      </c>
      <c r="D48" s="133">
        <v>257</v>
      </c>
      <c r="E48" s="133">
        <v>0</v>
      </c>
      <c r="F48" s="133">
        <v>0</v>
      </c>
      <c r="G48" s="133">
        <v>0</v>
      </c>
      <c r="H48" s="133">
        <v>0</v>
      </c>
      <c r="I48" s="133">
        <v>951</v>
      </c>
      <c r="J48" s="134">
        <f t="shared" si="0"/>
        <v>1208</v>
      </c>
      <c r="K48" s="134">
        <f t="shared" si="1"/>
        <v>145784</v>
      </c>
    </row>
    <row r="49" spans="1:11" x14ac:dyDescent="0.2">
      <c r="A49" s="131">
        <v>39</v>
      </c>
      <c r="B49" s="131" t="s">
        <v>195</v>
      </c>
      <c r="C49" s="133">
        <v>0</v>
      </c>
      <c r="D49" s="133">
        <v>688</v>
      </c>
      <c r="E49" s="133">
        <v>0</v>
      </c>
      <c r="F49" s="133">
        <v>813</v>
      </c>
      <c r="G49" s="133">
        <v>445</v>
      </c>
      <c r="H49" s="133">
        <v>0</v>
      </c>
      <c r="I49" s="133">
        <v>3386</v>
      </c>
      <c r="J49" s="134">
        <f t="shared" si="0"/>
        <v>5332</v>
      </c>
      <c r="K49" s="134">
        <f t="shared" si="1"/>
        <v>151116</v>
      </c>
    </row>
    <row r="50" spans="1:11" x14ac:dyDescent="0.2">
      <c r="A50" s="131">
        <v>40</v>
      </c>
      <c r="B50" s="131" t="s">
        <v>198</v>
      </c>
      <c r="C50" s="133">
        <v>0</v>
      </c>
      <c r="D50" s="133">
        <v>399</v>
      </c>
      <c r="E50" s="133">
        <v>0</v>
      </c>
      <c r="F50" s="133">
        <v>0</v>
      </c>
      <c r="G50" s="133">
        <v>0</v>
      </c>
      <c r="H50" s="133">
        <v>0</v>
      </c>
      <c r="I50" s="133">
        <v>1855</v>
      </c>
      <c r="J50" s="134">
        <f t="shared" si="0"/>
        <v>2254</v>
      </c>
      <c r="K50" s="134">
        <f t="shared" si="1"/>
        <v>153370</v>
      </c>
    </row>
    <row r="51" spans="1:11" x14ac:dyDescent="0.2">
      <c r="A51" s="131">
        <v>41</v>
      </c>
      <c r="B51" s="131" t="s">
        <v>201</v>
      </c>
      <c r="C51" s="133">
        <v>0</v>
      </c>
      <c r="D51" s="133">
        <v>0</v>
      </c>
      <c r="E51" s="133">
        <v>0</v>
      </c>
      <c r="F51" s="133">
        <v>464</v>
      </c>
      <c r="G51" s="133">
        <v>0</v>
      </c>
      <c r="H51" s="133">
        <v>0</v>
      </c>
      <c r="I51" s="133">
        <v>3602</v>
      </c>
      <c r="J51" s="134">
        <f t="shared" si="0"/>
        <v>4066</v>
      </c>
      <c r="K51" s="134">
        <f t="shared" si="1"/>
        <v>157436</v>
      </c>
    </row>
    <row r="52" spans="1:11" x14ac:dyDescent="0.2">
      <c r="A52" s="131">
        <v>42</v>
      </c>
      <c r="B52" s="131" t="s">
        <v>202</v>
      </c>
      <c r="C52" s="133">
        <v>0</v>
      </c>
      <c r="D52" s="133">
        <v>203</v>
      </c>
      <c r="E52" s="133">
        <v>0</v>
      </c>
      <c r="F52" s="133">
        <v>105</v>
      </c>
      <c r="G52" s="133">
        <v>0</v>
      </c>
      <c r="H52" s="133">
        <v>0</v>
      </c>
      <c r="I52" s="133">
        <v>4841</v>
      </c>
      <c r="J52" s="134">
        <f t="shared" si="0"/>
        <v>5149</v>
      </c>
      <c r="K52" s="134">
        <f t="shared" si="1"/>
        <v>162585</v>
      </c>
    </row>
    <row r="53" spans="1:11" x14ac:dyDescent="0.2">
      <c r="A53" s="131">
        <v>43</v>
      </c>
      <c r="B53" s="131" t="s">
        <v>204</v>
      </c>
      <c r="C53" s="133">
        <v>0</v>
      </c>
      <c r="D53" s="133">
        <v>1362</v>
      </c>
      <c r="E53" s="133">
        <v>0</v>
      </c>
      <c r="F53" s="133">
        <v>421</v>
      </c>
      <c r="G53" s="133">
        <v>0</v>
      </c>
      <c r="H53" s="133">
        <v>0</v>
      </c>
      <c r="I53" s="133">
        <v>5881</v>
      </c>
      <c r="J53" s="134">
        <f t="shared" si="0"/>
        <v>7664</v>
      </c>
      <c r="K53" s="134">
        <f t="shared" si="1"/>
        <v>170249</v>
      </c>
    </row>
    <row r="54" spans="1:11" x14ac:dyDescent="0.2">
      <c r="A54" s="131">
        <v>44</v>
      </c>
      <c r="B54" s="131" t="s">
        <v>206</v>
      </c>
      <c r="C54" s="133">
        <v>0</v>
      </c>
      <c r="D54" s="133">
        <v>814</v>
      </c>
      <c r="E54" s="133">
        <v>0</v>
      </c>
      <c r="F54" s="133">
        <v>568</v>
      </c>
      <c r="G54" s="133">
        <v>0</v>
      </c>
      <c r="H54" s="133">
        <v>0</v>
      </c>
      <c r="I54" s="133">
        <v>2022</v>
      </c>
      <c r="J54" s="134">
        <f t="shared" si="0"/>
        <v>3404</v>
      </c>
      <c r="K54" s="134">
        <f t="shared" si="1"/>
        <v>173653</v>
      </c>
    </row>
    <row r="55" spans="1:11" x14ac:dyDescent="0.2">
      <c r="A55" s="131">
        <v>45</v>
      </c>
      <c r="B55" s="131" t="s">
        <v>207</v>
      </c>
      <c r="C55" s="133">
        <v>0</v>
      </c>
      <c r="D55" s="133">
        <v>1222</v>
      </c>
      <c r="E55" s="133">
        <v>0</v>
      </c>
      <c r="F55" s="133">
        <v>0</v>
      </c>
      <c r="G55" s="133">
        <v>0</v>
      </c>
      <c r="H55" s="133">
        <v>0</v>
      </c>
      <c r="I55" s="133">
        <v>3664</v>
      </c>
      <c r="J55" s="134">
        <f t="shared" si="0"/>
        <v>4886</v>
      </c>
      <c r="K55" s="134">
        <f t="shared" si="1"/>
        <v>178539</v>
      </c>
    </row>
    <row r="56" spans="1:11" x14ac:dyDescent="0.2">
      <c r="A56" s="131">
        <v>46</v>
      </c>
      <c r="B56" s="131" t="s">
        <v>208</v>
      </c>
      <c r="C56" s="133">
        <v>0</v>
      </c>
      <c r="D56" s="133">
        <v>1421</v>
      </c>
      <c r="E56" s="133">
        <v>0</v>
      </c>
      <c r="F56" s="133">
        <v>0</v>
      </c>
      <c r="G56" s="133">
        <v>0</v>
      </c>
      <c r="H56" s="133">
        <v>0</v>
      </c>
      <c r="I56" s="133">
        <v>4890</v>
      </c>
      <c r="J56" s="134">
        <f t="shared" si="0"/>
        <v>6311</v>
      </c>
      <c r="K56" s="134">
        <f t="shared" si="1"/>
        <v>184850</v>
      </c>
    </row>
    <row r="57" spans="1:11" x14ac:dyDescent="0.2">
      <c r="A57" s="131">
        <v>47</v>
      </c>
      <c r="B57" s="131" t="s">
        <v>209</v>
      </c>
      <c r="C57" s="133">
        <v>0</v>
      </c>
      <c r="D57" s="133">
        <v>867</v>
      </c>
      <c r="E57" s="133">
        <v>0</v>
      </c>
      <c r="F57" s="133">
        <v>0</v>
      </c>
      <c r="G57" s="133">
        <v>0</v>
      </c>
      <c r="H57" s="133">
        <v>0</v>
      </c>
      <c r="I57" s="133">
        <v>3957</v>
      </c>
      <c r="J57" s="134">
        <f t="shared" si="0"/>
        <v>4824</v>
      </c>
      <c r="K57" s="134">
        <f t="shared" si="1"/>
        <v>189674</v>
      </c>
    </row>
    <row r="58" spans="1:11" x14ac:dyDescent="0.2">
      <c r="A58" s="131">
        <v>48</v>
      </c>
      <c r="B58" s="131" t="s">
        <v>211</v>
      </c>
      <c r="C58" s="133">
        <v>0</v>
      </c>
      <c r="D58" s="133">
        <v>1202</v>
      </c>
      <c r="E58" s="133">
        <v>0</v>
      </c>
      <c r="F58" s="133">
        <v>107</v>
      </c>
      <c r="G58" s="133">
        <v>0</v>
      </c>
      <c r="H58" s="133">
        <v>19995</v>
      </c>
      <c r="I58" s="133">
        <v>7825</v>
      </c>
      <c r="J58" s="134">
        <f t="shared" si="0"/>
        <v>29129</v>
      </c>
      <c r="K58" s="134">
        <f t="shared" si="1"/>
        <v>218803</v>
      </c>
    </row>
    <row r="59" spans="1:11" x14ac:dyDescent="0.2">
      <c r="A59" s="131">
        <v>49</v>
      </c>
      <c r="B59" s="131" t="s">
        <v>213</v>
      </c>
      <c r="C59" s="133">
        <v>0</v>
      </c>
      <c r="D59" s="133">
        <v>180</v>
      </c>
      <c r="E59" s="133">
        <v>0</v>
      </c>
      <c r="F59" s="133">
        <v>0</v>
      </c>
      <c r="G59" s="133">
        <v>0</v>
      </c>
      <c r="H59" s="133">
        <v>0</v>
      </c>
      <c r="I59" s="133">
        <v>6217</v>
      </c>
      <c r="J59" s="134">
        <f t="shared" si="0"/>
        <v>6397</v>
      </c>
      <c r="K59" s="134">
        <f t="shared" si="1"/>
        <v>225200</v>
      </c>
    </row>
    <row r="60" spans="1:11" x14ac:dyDescent="0.2">
      <c r="A60" s="131">
        <v>50</v>
      </c>
      <c r="B60" s="131" t="s">
        <v>214</v>
      </c>
      <c r="C60" s="133">
        <v>809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5273</v>
      </c>
      <c r="J60" s="134">
        <f t="shared" si="0"/>
        <v>6082</v>
      </c>
      <c r="K60" s="134">
        <f t="shared" si="1"/>
        <v>231282</v>
      </c>
    </row>
    <row r="61" spans="1:11" x14ac:dyDescent="0.2">
      <c r="A61" s="131">
        <v>51</v>
      </c>
      <c r="B61" s="131" t="s">
        <v>217</v>
      </c>
      <c r="C61" s="133">
        <v>600</v>
      </c>
      <c r="D61" s="133">
        <v>102</v>
      </c>
      <c r="E61" s="133">
        <v>0</v>
      </c>
      <c r="F61" s="133">
        <v>0</v>
      </c>
      <c r="G61" s="133">
        <v>0</v>
      </c>
      <c r="H61" s="133">
        <v>0</v>
      </c>
      <c r="I61" s="133">
        <v>2001</v>
      </c>
      <c r="J61" s="134">
        <f t="shared" si="0"/>
        <v>2703</v>
      </c>
      <c r="K61" s="134">
        <f t="shared" si="1"/>
        <v>233985</v>
      </c>
    </row>
    <row r="62" spans="1:11" x14ac:dyDescent="0.2">
      <c r="A62" s="131">
        <v>52</v>
      </c>
      <c r="B62" s="131" t="s">
        <v>218</v>
      </c>
      <c r="C62" s="133">
        <v>902</v>
      </c>
      <c r="D62" s="133">
        <v>116</v>
      </c>
      <c r="E62" s="133">
        <v>0</v>
      </c>
      <c r="F62" s="133">
        <v>0</v>
      </c>
      <c r="G62" s="133">
        <v>0</v>
      </c>
      <c r="H62" s="133">
        <v>0</v>
      </c>
      <c r="I62" s="133">
        <v>3772</v>
      </c>
      <c r="J62" s="134">
        <f t="shared" si="0"/>
        <v>4790</v>
      </c>
      <c r="K62" s="134">
        <f t="shared" si="1"/>
        <v>238775</v>
      </c>
    </row>
    <row r="63" spans="1:11" x14ac:dyDescent="0.2">
      <c r="A63" s="131" t="s">
        <v>116</v>
      </c>
      <c r="B63" s="131" t="s">
        <v>117</v>
      </c>
      <c r="C63" s="134">
        <f t="shared" ref="C63:I63" si="2">SUM(C11:C62)</f>
        <v>2311</v>
      </c>
      <c r="D63" s="134">
        <f t="shared" si="2"/>
        <v>38229</v>
      </c>
      <c r="E63" s="134">
        <f t="shared" si="2"/>
        <v>68</v>
      </c>
      <c r="F63" s="134">
        <f t="shared" si="2"/>
        <v>2478</v>
      </c>
      <c r="G63" s="134">
        <f t="shared" si="2"/>
        <v>1152</v>
      </c>
      <c r="H63" s="134">
        <f t="shared" si="2"/>
        <v>19995</v>
      </c>
      <c r="I63" s="134">
        <f t="shared" si="2"/>
        <v>174542</v>
      </c>
      <c r="J63" s="134">
        <f>SUM(J11:J62)</f>
        <v>238775</v>
      </c>
      <c r="K63" s="134"/>
    </row>
    <row r="65" spans="1:1" x14ac:dyDescent="0.2">
      <c r="A65" t="s">
        <v>194</v>
      </c>
    </row>
  </sheetData>
  <mergeCells count="3">
    <mergeCell ref="A7:K7"/>
    <mergeCell ref="A8:K8"/>
    <mergeCell ref="A9:K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5"/>
  <sheetViews>
    <sheetView topLeftCell="A9" workbookViewId="0">
      <selection activeCell="A7" sqref="A7:K65"/>
    </sheetView>
  </sheetViews>
  <sheetFormatPr defaultRowHeight="12.75" x14ac:dyDescent="0.2"/>
  <cols>
    <col min="1" max="1" width="16.28515625" customWidth="1"/>
    <col min="2" max="2" width="32.85546875" customWidth="1"/>
    <col min="3" max="3" width="17.140625" customWidth="1"/>
    <col min="4" max="4" width="16" customWidth="1"/>
    <col min="5" max="5" width="16.7109375" customWidth="1"/>
    <col min="6" max="6" width="11.5703125" customWidth="1"/>
    <col min="7" max="7" width="12.28515625" customWidth="1"/>
    <col min="8" max="8" width="11.140625" bestFit="1" customWidth="1"/>
  </cols>
  <sheetData>
    <row r="1" spans="1:8" s="69" customFormat="1" ht="15.75" x14ac:dyDescent="0.25">
      <c r="A1" s="68" t="s">
        <v>168</v>
      </c>
    </row>
    <row r="2" spans="1:8" s="69" customFormat="1" ht="15.75" x14ac:dyDescent="0.25">
      <c r="A2" s="68" t="s">
        <v>169</v>
      </c>
    </row>
    <row r="3" spans="1:8" s="69" customFormat="1" ht="15" x14ac:dyDescent="0.2"/>
    <row r="4" spans="1:8" s="69" customFormat="1" ht="15" x14ac:dyDescent="0.2">
      <c r="A4" s="123" t="s">
        <v>127</v>
      </c>
      <c r="B4" s="99" t="e">
        <f>#REF!</f>
        <v>#REF!</v>
      </c>
    </row>
    <row r="5" spans="1:8" s="69" customFormat="1" ht="15" x14ac:dyDescent="0.2">
      <c r="A5" s="123" t="s">
        <v>123</v>
      </c>
      <c r="B5" s="70" t="e">
        <f>B4</f>
        <v>#REF!</v>
      </c>
    </row>
    <row r="7" spans="1:8" ht="15.75" x14ac:dyDescent="0.25">
      <c r="A7" s="216" t="s">
        <v>205</v>
      </c>
      <c r="B7" s="217"/>
      <c r="C7" s="217"/>
      <c r="D7" s="217"/>
      <c r="E7" s="217"/>
      <c r="F7" s="217"/>
      <c r="G7" s="217"/>
      <c r="H7" s="218"/>
    </row>
    <row r="8" spans="1:8" ht="15.75" x14ac:dyDescent="0.25">
      <c r="A8" s="216" t="s">
        <v>200</v>
      </c>
      <c r="B8" s="217"/>
      <c r="C8" s="217"/>
      <c r="D8" s="217"/>
      <c r="E8" s="217"/>
      <c r="F8" s="217"/>
      <c r="G8" s="217"/>
      <c r="H8" s="218"/>
    </row>
    <row r="9" spans="1:8" x14ac:dyDescent="0.2">
      <c r="A9" s="219" t="s">
        <v>116</v>
      </c>
      <c r="B9" s="220"/>
      <c r="C9" s="220"/>
      <c r="D9" s="220"/>
      <c r="E9" s="220"/>
      <c r="F9" s="220"/>
      <c r="G9" s="220"/>
      <c r="H9" s="221"/>
    </row>
    <row r="10" spans="1:8" x14ac:dyDescent="0.2">
      <c r="A10" s="132"/>
      <c r="B10" s="132" t="s">
        <v>114</v>
      </c>
      <c r="C10" s="132" t="s">
        <v>190</v>
      </c>
      <c r="D10" s="132" t="s">
        <v>166</v>
      </c>
      <c r="E10" s="132" t="s">
        <v>167</v>
      </c>
      <c r="F10" s="132" t="s">
        <v>163</v>
      </c>
      <c r="G10" s="132" t="s">
        <v>142</v>
      </c>
      <c r="H10" s="132" t="s">
        <v>142</v>
      </c>
    </row>
    <row r="11" spans="1:8" x14ac:dyDescent="0.2">
      <c r="A11" s="131">
        <v>1</v>
      </c>
      <c r="B11" s="131" t="s">
        <v>125</v>
      </c>
      <c r="C11" s="133">
        <v>0</v>
      </c>
      <c r="D11" s="133">
        <v>0</v>
      </c>
      <c r="E11" s="133">
        <v>0</v>
      </c>
      <c r="F11" s="133">
        <v>0</v>
      </c>
      <c r="G11" s="134">
        <f t="shared" ref="G11:G62" si="0">SUM(C11:F11)</f>
        <v>0</v>
      </c>
      <c r="H11" s="134">
        <f>G11</f>
        <v>0</v>
      </c>
    </row>
    <row r="12" spans="1:8" x14ac:dyDescent="0.2">
      <c r="A12" s="131">
        <v>2</v>
      </c>
      <c r="B12" s="131" t="s">
        <v>132</v>
      </c>
      <c r="C12" s="133">
        <v>0</v>
      </c>
      <c r="D12" s="133">
        <v>87</v>
      </c>
      <c r="E12" s="133">
        <v>0</v>
      </c>
      <c r="F12" s="133">
        <v>0</v>
      </c>
      <c r="G12" s="134">
        <f t="shared" si="0"/>
        <v>87</v>
      </c>
      <c r="H12" s="134">
        <f t="shared" ref="H12:H62" si="1">G12+H11</f>
        <v>87</v>
      </c>
    </row>
    <row r="13" spans="1:8" x14ac:dyDescent="0.2">
      <c r="A13" s="131">
        <v>3</v>
      </c>
      <c r="B13" s="131" t="s">
        <v>133</v>
      </c>
      <c r="C13" s="133">
        <v>0</v>
      </c>
      <c r="D13" s="133">
        <v>0</v>
      </c>
      <c r="E13" s="133">
        <v>0</v>
      </c>
      <c r="F13" s="133">
        <v>0</v>
      </c>
      <c r="G13" s="134">
        <f t="shared" si="0"/>
        <v>0</v>
      </c>
      <c r="H13" s="134">
        <f t="shared" si="1"/>
        <v>87</v>
      </c>
    </row>
    <row r="14" spans="1:8" x14ac:dyDescent="0.2">
      <c r="A14" s="131">
        <v>4</v>
      </c>
      <c r="B14" s="131" t="s">
        <v>134</v>
      </c>
      <c r="C14" s="133">
        <v>0</v>
      </c>
      <c r="D14" s="133">
        <v>0</v>
      </c>
      <c r="E14" s="133">
        <v>1115</v>
      </c>
      <c r="F14" s="133">
        <v>912</v>
      </c>
      <c r="G14" s="134">
        <f t="shared" si="0"/>
        <v>2027</v>
      </c>
      <c r="H14" s="134">
        <f t="shared" si="1"/>
        <v>2114</v>
      </c>
    </row>
    <row r="15" spans="1:8" x14ac:dyDescent="0.2">
      <c r="A15" s="131">
        <v>5</v>
      </c>
      <c r="B15" s="131" t="s">
        <v>135</v>
      </c>
      <c r="C15" s="133">
        <v>0</v>
      </c>
      <c r="D15" s="133">
        <v>0</v>
      </c>
      <c r="E15" s="133">
        <v>290</v>
      </c>
      <c r="F15" s="133">
        <v>0</v>
      </c>
      <c r="G15" s="134">
        <f t="shared" si="0"/>
        <v>290</v>
      </c>
      <c r="H15" s="134">
        <f t="shared" si="1"/>
        <v>2404</v>
      </c>
    </row>
    <row r="16" spans="1:8" x14ac:dyDescent="0.2">
      <c r="A16" s="131">
        <v>6</v>
      </c>
      <c r="B16" s="131" t="s">
        <v>136</v>
      </c>
      <c r="C16" s="133">
        <v>0</v>
      </c>
      <c r="D16" s="133">
        <v>0</v>
      </c>
      <c r="E16" s="133">
        <v>426</v>
      </c>
      <c r="F16" s="133">
        <v>0</v>
      </c>
      <c r="G16" s="134">
        <f t="shared" si="0"/>
        <v>426</v>
      </c>
      <c r="H16" s="134">
        <f t="shared" si="1"/>
        <v>2830</v>
      </c>
    </row>
    <row r="17" spans="1:8" x14ac:dyDescent="0.2">
      <c r="A17" s="131">
        <v>7</v>
      </c>
      <c r="B17" s="131" t="s">
        <v>137</v>
      </c>
      <c r="C17" s="133">
        <v>0</v>
      </c>
      <c r="D17" s="133">
        <v>0</v>
      </c>
      <c r="E17" s="133">
        <v>71</v>
      </c>
      <c r="F17" s="133">
        <v>0</v>
      </c>
      <c r="G17" s="134">
        <f t="shared" si="0"/>
        <v>71</v>
      </c>
      <c r="H17" s="134">
        <f t="shared" si="1"/>
        <v>2901</v>
      </c>
    </row>
    <row r="18" spans="1:8" x14ac:dyDescent="0.2">
      <c r="A18" s="131">
        <v>8</v>
      </c>
      <c r="B18" s="131" t="s">
        <v>138</v>
      </c>
      <c r="C18" s="133">
        <v>0</v>
      </c>
      <c r="D18" s="133">
        <v>131</v>
      </c>
      <c r="E18" s="133">
        <v>1096</v>
      </c>
      <c r="F18" s="133">
        <v>0</v>
      </c>
      <c r="G18" s="134">
        <f t="shared" si="0"/>
        <v>1227</v>
      </c>
      <c r="H18" s="134">
        <f t="shared" si="1"/>
        <v>4128</v>
      </c>
    </row>
    <row r="19" spans="1:8" x14ac:dyDescent="0.2">
      <c r="A19" s="131">
        <v>9</v>
      </c>
      <c r="B19" s="131" t="s">
        <v>139</v>
      </c>
      <c r="C19" s="133">
        <v>0</v>
      </c>
      <c r="D19" s="133">
        <v>0</v>
      </c>
      <c r="E19" s="133">
        <v>0</v>
      </c>
      <c r="F19" s="133">
        <v>0</v>
      </c>
      <c r="G19" s="134">
        <f t="shared" si="0"/>
        <v>0</v>
      </c>
      <c r="H19" s="134">
        <f t="shared" si="1"/>
        <v>4128</v>
      </c>
    </row>
    <row r="20" spans="1:8" x14ac:dyDescent="0.2">
      <c r="A20" s="131">
        <v>10</v>
      </c>
      <c r="B20" s="131" t="s">
        <v>140</v>
      </c>
      <c r="C20" s="133">
        <v>0</v>
      </c>
      <c r="D20" s="133">
        <v>0</v>
      </c>
      <c r="E20" s="133">
        <v>0</v>
      </c>
      <c r="F20" s="133">
        <v>0</v>
      </c>
      <c r="G20" s="134">
        <f t="shared" si="0"/>
        <v>0</v>
      </c>
      <c r="H20" s="134">
        <f t="shared" si="1"/>
        <v>4128</v>
      </c>
    </row>
    <row r="21" spans="1:8" x14ac:dyDescent="0.2">
      <c r="A21" s="131">
        <v>11</v>
      </c>
      <c r="B21" s="131" t="s">
        <v>141</v>
      </c>
      <c r="C21" s="133">
        <v>0</v>
      </c>
      <c r="D21" s="133">
        <v>0</v>
      </c>
      <c r="E21" s="133">
        <v>0</v>
      </c>
      <c r="F21" s="133">
        <v>0</v>
      </c>
      <c r="G21" s="134">
        <f t="shared" si="0"/>
        <v>0</v>
      </c>
      <c r="H21" s="134">
        <f t="shared" si="1"/>
        <v>4128</v>
      </c>
    </row>
    <row r="22" spans="1:8" x14ac:dyDescent="0.2">
      <c r="A22" s="131">
        <v>12</v>
      </c>
      <c r="B22" s="131" t="s">
        <v>143</v>
      </c>
      <c r="C22" s="133">
        <v>0</v>
      </c>
      <c r="D22" s="133">
        <v>0</v>
      </c>
      <c r="E22" s="133">
        <v>0</v>
      </c>
      <c r="F22" s="133">
        <v>0</v>
      </c>
      <c r="G22" s="134">
        <f t="shared" si="0"/>
        <v>0</v>
      </c>
      <c r="H22" s="134">
        <f t="shared" si="1"/>
        <v>4128</v>
      </c>
    </row>
    <row r="23" spans="1:8" x14ac:dyDescent="0.2">
      <c r="A23" s="131">
        <v>13</v>
      </c>
      <c r="B23" s="131" t="s">
        <v>146</v>
      </c>
      <c r="C23" s="133">
        <v>0</v>
      </c>
      <c r="D23" s="133">
        <v>0</v>
      </c>
      <c r="E23" s="133">
        <v>0</v>
      </c>
      <c r="F23" s="133">
        <v>0</v>
      </c>
      <c r="G23" s="134">
        <f t="shared" si="0"/>
        <v>0</v>
      </c>
      <c r="H23" s="134">
        <f t="shared" si="1"/>
        <v>4128</v>
      </c>
    </row>
    <row r="24" spans="1:8" x14ac:dyDescent="0.2">
      <c r="A24" s="131">
        <v>14</v>
      </c>
      <c r="B24" s="131" t="s">
        <v>150</v>
      </c>
      <c r="C24" s="133">
        <v>0</v>
      </c>
      <c r="D24" s="133">
        <v>0</v>
      </c>
      <c r="E24" s="133">
        <v>0</v>
      </c>
      <c r="F24" s="133">
        <v>0</v>
      </c>
      <c r="G24" s="134">
        <f t="shared" si="0"/>
        <v>0</v>
      </c>
      <c r="H24" s="134">
        <f t="shared" si="1"/>
        <v>4128</v>
      </c>
    </row>
    <row r="25" spans="1:8" x14ac:dyDescent="0.2">
      <c r="A25" s="131">
        <v>15</v>
      </c>
      <c r="B25" s="131" t="s">
        <v>151</v>
      </c>
      <c r="C25" s="133">
        <v>0</v>
      </c>
      <c r="D25" s="133">
        <v>39</v>
      </c>
      <c r="E25" s="133">
        <v>0</v>
      </c>
      <c r="F25" s="133">
        <v>0</v>
      </c>
      <c r="G25" s="134">
        <f t="shared" si="0"/>
        <v>39</v>
      </c>
      <c r="H25" s="134">
        <f t="shared" si="1"/>
        <v>4167</v>
      </c>
    </row>
    <row r="26" spans="1:8" x14ac:dyDescent="0.2">
      <c r="A26" s="131">
        <v>16</v>
      </c>
      <c r="B26" s="131" t="s">
        <v>157</v>
      </c>
      <c r="C26" s="133">
        <v>0</v>
      </c>
      <c r="D26" s="133">
        <v>0</v>
      </c>
      <c r="E26" s="133">
        <v>0</v>
      </c>
      <c r="F26" s="133">
        <v>0</v>
      </c>
      <c r="G26" s="134">
        <f t="shared" si="0"/>
        <v>0</v>
      </c>
      <c r="H26" s="134">
        <f t="shared" si="1"/>
        <v>4167</v>
      </c>
    </row>
    <row r="27" spans="1:8" x14ac:dyDescent="0.2">
      <c r="A27" s="131">
        <v>17</v>
      </c>
      <c r="B27" s="131" t="s">
        <v>158</v>
      </c>
      <c r="C27" s="133">
        <v>0</v>
      </c>
      <c r="D27" s="133">
        <v>0</v>
      </c>
      <c r="E27" s="133">
        <v>97</v>
      </c>
      <c r="F27" s="133">
        <v>0</v>
      </c>
      <c r="G27" s="134">
        <f t="shared" si="0"/>
        <v>97</v>
      </c>
      <c r="H27" s="134">
        <f t="shared" si="1"/>
        <v>4264</v>
      </c>
    </row>
    <row r="28" spans="1:8" x14ac:dyDescent="0.2">
      <c r="A28" s="131">
        <v>18</v>
      </c>
      <c r="B28" s="131" t="s">
        <v>159</v>
      </c>
      <c r="C28" s="133">
        <v>0</v>
      </c>
      <c r="D28" s="133">
        <v>0</v>
      </c>
      <c r="E28" s="133">
        <v>0</v>
      </c>
      <c r="F28" s="133">
        <v>0</v>
      </c>
      <c r="G28" s="134">
        <f t="shared" si="0"/>
        <v>0</v>
      </c>
      <c r="H28" s="134">
        <f t="shared" si="1"/>
        <v>4264</v>
      </c>
    </row>
    <row r="29" spans="1:8" x14ac:dyDescent="0.2">
      <c r="A29" s="131">
        <v>19</v>
      </c>
      <c r="B29" s="131" t="s">
        <v>170</v>
      </c>
      <c r="C29" s="133">
        <v>0</v>
      </c>
      <c r="D29" s="133">
        <v>0</v>
      </c>
      <c r="E29" s="133">
        <v>0</v>
      </c>
      <c r="F29" s="133">
        <v>0</v>
      </c>
      <c r="G29" s="134">
        <f t="shared" si="0"/>
        <v>0</v>
      </c>
      <c r="H29" s="134">
        <f t="shared" si="1"/>
        <v>4264</v>
      </c>
    </row>
    <row r="30" spans="1:8" x14ac:dyDescent="0.2">
      <c r="A30" s="131">
        <v>20</v>
      </c>
      <c r="B30" s="131" t="s">
        <v>171</v>
      </c>
      <c r="C30" s="133">
        <v>0</v>
      </c>
      <c r="D30" s="133">
        <v>0</v>
      </c>
      <c r="E30" s="133">
        <v>0</v>
      </c>
      <c r="F30" s="133">
        <v>0</v>
      </c>
      <c r="G30" s="134">
        <f t="shared" si="0"/>
        <v>0</v>
      </c>
      <c r="H30" s="134">
        <f t="shared" si="1"/>
        <v>4264</v>
      </c>
    </row>
    <row r="31" spans="1:8" x14ac:dyDescent="0.2">
      <c r="A31" s="131">
        <v>21</v>
      </c>
      <c r="B31" s="131" t="s">
        <v>172</v>
      </c>
      <c r="C31" s="133">
        <v>0</v>
      </c>
      <c r="D31" s="133">
        <v>0</v>
      </c>
      <c r="E31" s="133">
        <v>0</v>
      </c>
      <c r="F31" s="133">
        <v>0</v>
      </c>
      <c r="G31" s="134">
        <f t="shared" si="0"/>
        <v>0</v>
      </c>
      <c r="H31" s="134">
        <f t="shared" si="1"/>
        <v>4264</v>
      </c>
    </row>
    <row r="32" spans="1:8" x14ac:dyDescent="0.2">
      <c r="A32" s="131">
        <v>22</v>
      </c>
      <c r="B32" s="131" t="s">
        <v>173</v>
      </c>
      <c r="C32" s="133">
        <v>0</v>
      </c>
      <c r="D32" s="133">
        <v>210</v>
      </c>
      <c r="E32" s="133">
        <v>0</v>
      </c>
      <c r="F32" s="133">
        <v>0</v>
      </c>
      <c r="G32" s="134">
        <f t="shared" si="0"/>
        <v>210</v>
      </c>
      <c r="H32" s="134">
        <f t="shared" si="1"/>
        <v>4474</v>
      </c>
    </row>
    <row r="33" spans="1:8" x14ac:dyDescent="0.2">
      <c r="A33" s="131">
        <v>23</v>
      </c>
      <c r="B33" s="131" t="s">
        <v>174</v>
      </c>
      <c r="C33" s="133">
        <v>0</v>
      </c>
      <c r="D33" s="133">
        <v>129</v>
      </c>
      <c r="E33" s="133">
        <v>0</v>
      </c>
      <c r="F33" s="133">
        <v>0</v>
      </c>
      <c r="G33" s="134">
        <f t="shared" si="0"/>
        <v>129</v>
      </c>
      <c r="H33" s="134">
        <f t="shared" si="1"/>
        <v>4603</v>
      </c>
    </row>
    <row r="34" spans="1:8" x14ac:dyDescent="0.2">
      <c r="A34" s="131">
        <v>24</v>
      </c>
      <c r="B34" s="131" t="s">
        <v>175</v>
      </c>
      <c r="C34" s="133">
        <v>0</v>
      </c>
      <c r="D34" s="133">
        <v>0</v>
      </c>
      <c r="E34" s="133">
        <v>0</v>
      </c>
      <c r="F34" s="133">
        <v>0</v>
      </c>
      <c r="G34" s="134">
        <f t="shared" si="0"/>
        <v>0</v>
      </c>
      <c r="H34" s="134">
        <f t="shared" si="1"/>
        <v>4603</v>
      </c>
    </row>
    <row r="35" spans="1:8" x14ac:dyDescent="0.2">
      <c r="A35" s="131">
        <v>25</v>
      </c>
      <c r="B35" s="131" t="s">
        <v>176</v>
      </c>
      <c r="C35" s="133">
        <v>0</v>
      </c>
      <c r="D35" s="133">
        <v>0</v>
      </c>
      <c r="E35" s="133">
        <v>0</v>
      </c>
      <c r="F35" s="133">
        <v>0</v>
      </c>
      <c r="G35" s="134">
        <f t="shared" si="0"/>
        <v>0</v>
      </c>
      <c r="H35" s="134">
        <f t="shared" si="1"/>
        <v>4603</v>
      </c>
    </row>
    <row r="36" spans="1:8" x14ac:dyDescent="0.2">
      <c r="A36" s="131">
        <v>26</v>
      </c>
      <c r="B36" s="131" t="s">
        <v>178</v>
      </c>
      <c r="C36" s="133">
        <v>0</v>
      </c>
      <c r="D36" s="133">
        <v>298</v>
      </c>
      <c r="E36" s="133">
        <v>0</v>
      </c>
      <c r="F36" s="133">
        <v>0</v>
      </c>
      <c r="G36" s="134">
        <f t="shared" si="0"/>
        <v>298</v>
      </c>
      <c r="H36" s="134">
        <f t="shared" si="1"/>
        <v>4901</v>
      </c>
    </row>
    <row r="37" spans="1:8" x14ac:dyDescent="0.2">
      <c r="A37" s="131">
        <v>27</v>
      </c>
      <c r="B37" s="131" t="s">
        <v>179</v>
      </c>
      <c r="C37" s="133">
        <v>0</v>
      </c>
      <c r="D37" s="133">
        <v>0</v>
      </c>
      <c r="E37" s="133">
        <v>0</v>
      </c>
      <c r="F37" s="133">
        <v>0</v>
      </c>
      <c r="G37" s="134">
        <f t="shared" si="0"/>
        <v>0</v>
      </c>
      <c r="H37" s="134">
        <f t="shared" si="1"/>
        <v>4901</v>
      </c>
    </row>
    <row r="38" spans="1:8" x14ac:dyDescent="0.2">
      <c r="A38" s="131">
        <v>28</v>
      </c>
      <c r="B38" s="131" t="s">
        <v>180</v>
      </c>
      <c r="C38" s="133">
        <v>0</v>
      </c>
      <c r="D38" s="133">
        <v>0</v>
      </c>
      <c r="E38" s="133">
        <v>0</v>
      </c>
      <c r="F38" s="133">
        <v>0</v>
      </c>
      <c r="G38" s="134">
        <f t="shared" si="0"/>
        <v>0</v>
      </c>
      <c r="H38" s="134">
        <f t="shared" si="1"/>
        <v>4901</v>
      </c>
    </row>
    <row r="39" spans="1:8" x14ac:dyDescent="0.2">
      <c r="A39" s="131">
        <v>29</v>
      </c>
      <c r="B39" s="131" t="s">
        <v>181</v>
      </c>
      <c r="C39" s="133">
        <v>0</v>
      </c>
      <c r="D39" s="133">
        <v>0</v>
      </c>
      <c r="E39" s="133">
        <v>0</v>
      </c>
      <c r="F39" s="133">
        <v>0</v>
      </c>
      <c r="G39" s="134">
        <f t="shared" si="0"/>
        <v>0</v>
      </c>
      <c r="H39" s="134">
        <f t="shared" si="1"/>
        <v>4901</v>
      </c>
    </row>
    <row r="40" spans="1:8" x14ac:dyDescent="0.2">
      <c r="A40" s="131">
        <v>30</v>
      </c>
      <c r="B40" s="131" t="s">
        <v>183</v>
      </c>
      <c r="C40" s="133">
        <v>724</v>
      </c>
      <c r="D40" s="133">
        <v>136</v>
      </c>
      <c r="E40" s="133">
        <v>0</v>
      </c>
      <c r="F40" s="133">
        <v>0</v>
      </c>
      <c r="G40" s="134">
        <f t="shared" si="0"/>
        <v>860</v>
      </c>
      <c r="H40" s="134">
        <f t="shared" si="1"/>
        <v>5761</v>
      </c>
    </row>
    <row r="41" spans="1:8" x14ac:dyDescent="0.2">
      <c r="A41" s="131">
        <v>31</v>
      </c>
      <c r="B41" s="131" t="s">
        <v>185</v>
      </c>
      <c r="C41" s="133">
        <v>0</v>
      </c>
      <c r="D41" s="133">
        <v>0</v>
      </c>
      <c r="E41" s="133">
        <v>0</v>
      </c>
      <c r="F41" s="133">
        <v>0</v>
      </c>
      <c r="G41" s="134">
        <f t="shared" si="0"/>
        <v>0</v>
      </c>
      <c r="H41" s="134">
        <f t="shared" si="1"/>
        <v>5761</v>
      </c>
    </row>
    <row r="42" spans="1:8" x14ac:dyDescent="0.2">
      <c r="A42" s="131">
        <v>32</v>
      </c>
      <c r="B42" s="131" t="s">
        <v>186</v>
      </c>
      <c r="C42" s="133">
        <v>0</v>
      </c>
      <c r="D42" s="133">
        <v>0</v>
      </c>
      <c r="E42" s="133">
        <v>0</v>
      </c>
      <c r="F42" s="133">
        <v>0</v>
      </c>
      <c r="G42" s="134">
        <f t="shared" si="0"/>
        <v>0</v>
      </c>
      <c r="H42" s="134">
        <f t="shared" si="1"/>
        <v>5761</v>
      </c>
    </row>
    <row r="43" spans="1:8" x14ac:dyDescent="0.2">
      <c r="A43" s="131">
        <v>33</v>
      </c>
      <c r="B43" s="131" t="s">
        <v>187</v>
      </c>
      <c r="C43" s="133">
        <v>0</v>
      </c>
      <c r="D43" s="133">
        <v>0</v>
      </c>
      <c r="E43" s="133">
        <v>0</v>
      </c>
      <c r="F43" s="133">
        <v>0</v>
      </c>
      <c r="G43" s="134">
        <f t="shared" si="0"/>
        <v>0</v>
      </c>
      <c r="H43" s="134">
        <f t="shared" si="1"/>
        <v>5761</v>
      </c>
    </row>
    <row r="44" spans="1:8" x14ac:dyDescent="0.2">
      <c r="A44" s="131">
        <v>34</v>
      </c>
      <c r="B44" s="131" t="s">
        <v>188</v>
      </c>
      <c r="C44" s="133">
        <v>0</v>
      </c>
      <c r="D44" s="133">
        <v>0</v>
      </c>
      <c r="E44" s="133">
        <v>0</v>
      </c>
      <c r="F44" s="133">
        <v>0</v>
      </c>
      <c r="G44" s="134">
        <f t="shared" si="0"/>
        <v>0</v>
      </c>
      <c r="H44" s="134">
        <f t="shared" si="1"/>
        <v>5761</v>
      </c>
    </row>
    <row r="45" spans="1:8" x14ac:dyDescent="0.2">
      <c r="A45" s="131" t="s">
        <v>197</v>
      </c>
      <c r="B45" s="131" t="s">
        <v>189</v>
      </c>
      <c r="C45" s="133">
        <v>0</v>
      </c>
      <c r="D45" s="133">
        <v>374</v>
      </c>
      <c r="E45" s="133">
        <v>0</v>
      </c>
      <c r="F45" s="133">
        <v>3000</v>
      </c>
      <c r="G45" s="134">
        <f t="shared" si="0"/>
        <v>3374</v>
      </c>
      <c r="H45" s="134">
        <f t="shared" si="1"/>
        <v>9135</v>
      </c>
    </row>
    <row r="46" spans="1:8" x14ac:dyDescent="0.2">
      <c r="A46" s="131">
        <v>36</v>
      </c>
      <c r="B46" s="131" t="s">
        <v>191</v>
      </c>
      <c r="C46" s="133">
        <v>0</v>
      </c>
      <c r="D46" s="133">
        <v>0</v>
      </c>
      <c r="E46" s="133">
        <v>0</v>
      </c>
      <c r="F46" s="133">
        <v>466</v>
      </c>
      <c r="G46" s="134">
        <f t="shared" si="0"/>
        <v>466</v>
      </c>
      <c r="H46" s="134">
        <f t="shared" si="1"/>
        <v>9601</v>
      </c>
    </row>
    <row r="47" spans="1:8" x14ac:dyDescent="0.2">
      <c r="A47" s="131">
        <v>37</v>
      </c>
      <c r="B47" s="131" t="s">
        <v>192</v>
      </c>
      <c r="C47" s="133">
        <v>0</v>
      </c>
      <c r="D47" s="133">
        <v>0</v>
      </c>
      <c r="E47" s="133">
        <v>0</v>
      </c>
      <c r="F47" s="133">
        <v>1212</v>
      </c>
      <c r="G47" s="134">
        <f t="shared" si="0"/>
        <v>1212</v>
      </c>
      <c r="H47" s="134">
        <f t="shared" si="1"/>
        <v>10813</v>
      </c>
    </row>
    <row r="48" spans="1:8" x14ac:dyDescent="0.2">
      <c r="A48" s="131">
        <v>38</v>
      </c>
      <c r="B48" s="131" t="s">
        <v>193</v>
      </c>
      <c r="C48" s="133">
        <v>0</v>
      </c>
      <c r="D48" s="133">
        <v>0</v>
      </c>
      <c r="E48" s="133">
        <v>0</v>
      </c>
      <c r="F48" s="133">
        <v>1327</v>
      </c>
      <c r="G48" s="134">
        <f t="shared" si="0"/>
        <v>1327</v>
      </c>
      <c r="H48" s="134">
        <f t="shared" si="1"/>
        <v>12140</v>
      </c>
    </row>
    <row r="49" spans="1:8" x14ac:dyDescent="0.2">
      <c r="A49" s="131">
        <v>39</v>
      </c>
      <c r="B49" s="131" t="s">
        <v>195</v>
      </c>
      <c r="C49" s="133">
        <v>0</v>
      </c>
      <c r="D49" s="133">
        <v>141</v>
      </c>
      <c r="E49" s="133">
        <v>0</v>
      </c>
      <c r="F49" s="133">
        <v>1081</v>
      </c>
      <c r="G49" s="134">
        <f t="shared" si="0"/>
        <v>1222</v>
      </c>
      <c r="H49" s="134">
        <f t="shared" si="1"/>
        <v>13362</v>
      </c>
    </row>
    <row r="50" spans="1:8" x14ac:dyDescent="0.2">
      <c r="A50" s="131">
        <v>40</v>
      </c>
      <c r="B50" s="131" t="s">
        <v>198</v>
      </c>
      <c r="C50" s="133">
        <v>0</v>
      </c>
      <c r="D50" s="133">
        <v>0</v>
      </c>
      <c r="E50" s="133">
        <v>0</v>
      </c>
      <c r="F50" s="133">
        <v>641</v>
      </c>
      <c r="G50" s="134">
        <f t="shared" si="0"/>
        <v>641</v>
      </c>
      <c r="H50" s="134">
        <f t="shared" si="1"/>
        <v>14003</v>
      </c>
    </row>
    <row r="51" spans="1:8" x14ac:dyDescent="0.2">
      <c r="A51" s="131">
        <v>41</v>
      </c>
      <c r="B51" s="131" t="s">
        <v>201</v>
      </c>
      <c r="C51" s="133">
        <v>0</v>
      </c>
      <c r="D51" s="133">
        <v>0</v>
      </c>
      <c r="E51" s="133">
        <v>0</v>
      </c>
      <c r="F51" s="133">
        <v>0</v>
      </c>
      <c r="G51" s="134">
        <f t="shared" si="0"/>
        <v>0</v>
      </c>
      <c r="H51" s="134">
        <f t="shared" si="1"/>
        <v>14003</v>
      </c>
    </row>
    <row r="52" spans="1:8" x14ac:dyDescent="0.2">
      <c r="A52" s="131">
        <v>42</v>
      </c>
      <c r="B52" s="131" t="s">
        <v>202</v>
      </c>
      <c r="C52" s="133">
        <v>0</v>
      </c>
      <c r="D52" s="133">
        <v>0</v>
      </c>
      <c r="E52" s="133">
        <v>0</v>
      </c>
      <c r="F52" s="133">
        <v>0</v>
      </c>
      <c r="G52" s="134">
        <f t="shared" si="0"/>
        <v>0</v>
      </c>
      <c r="H52" s="134">
        <f t="shared" si="1"/>
        <v>14003</v>
      </c>
    </row>
    <row r="53" spans="1:8" x14ac:dyDescent="0.2">
      <c r="A53" s="131">
        <v>43</v>
      </c>
      <c r="B53" s="131" t="s">
        <v>204</v>
      </c>
      <c r="C53" s="133">
        <v>0</v>
      </c>
      <c r="D53" s="133">
        <v>135</v>
      </c>
      <c r="E53" s="133">
        <v>0</v>
      </c>
      <c r="F53" s="133">
        <v>0</v>
      </c>
      <c r="G53" s="134">
        <f t="shared" si="0"/>
        <v>135</v>
      </c>
      <c r="H53" s="134">
        <f t="shared" si="1"/>
        <v>14138</v>
      </c>
    </row>
    <row r="54" spans="1:8" x14ac:dyDescent="0.2">
      <c r="A54" s="131">
        <v>44</v>
      </c>
      <c r="B54" s="131" t="s">
        <v>206</v>
      </c>
      <c r="C54" s="133">
        <v>0</v>
      </c>
      <c r="D54" s="133">
        <v>0</v>
      </c>
      <c r="E54" s="133">
        <v>0</v>
      </c>
      <c r="F54" s="133">
        <v>0</v>
      </c>
      <c r="G54" s="134">
        <f t="shared" si="0"/>
        <v>0</v>
      </c>
      <c r="H54" s="134">
        <f t="shared" si="1"/>
        <v>14138</v>
      </c>
    </row>
    <row r="55" spans="1:8" x14ac:dyDescent="0.2">
      <c r="A55" s="131">
        <v>45</v>
      </c>
      <c r="B55" s="131" t="s">
        <v>207</v>
      </c>
      <c r="C55" s="133">
        <v>0</v>
      </c>
      <c r="D55" s="133">
        <v>0</v>
      </c>
      <c r="E55" s="133">
        <v>0</v>
      </c>
      <c r="F55" s="133">
        <v>0</v>
      </c>
      <c r="G55" s="134">
        <f t="shared" si="0"/>
        <v>0</v>
      </c>
      <c r="H55" s="134">
        <f t="shared" si="1"/>
        <v>14138</v>
      </c>
    </row>
    <row r="56" spans="1:8" x14ac:dyDescent="0.2">
      <c r="A56" s="131">
        <v>46</v>
      </c>
      <c r="B56" s="131" t="s">
        <v>208</v>
      </c>
      <c r="C56" s="133">
        <v>0</v>
      </c>
      <c r="D56" s="133">
        <v>0</v>
      </c>
      <c r="E56" s="133">
        <v>0</v>
      </c>
      <c r="F56" s="133">
        <v>0</v>
      </c>
      <c r="G56" s="134">
        <f t="shared" si="0"/>
        <v>0</v>
      </c>
      <c r="H56" s="134">
        <f t="shared" si="1"/>
        <v>14138</v>
      </c>
    </row>
    <row r="57" spans="1:8" x14ac:dyDescent="0.2">
      <c r="A57" s="131">
        <v>47</v>
      </c>
      <c r="B57" s="131" t="s">
        <v>209</v>
      </c>
      <c r="C57" s="133">
        <v>0</v>
      </c>
      <c r="D57" s="133">
        <v>0</v>
      </c>
      <c r="E57" s="133">
        <v>0</v>
      </c>
      <c r="F57" s="133">
        <v>0</v>
      </c>
      <c r="G57" s="134">
        <f t="shared" si="0"/>
        <v>0</v>
      </c>
      <c r="H57" s="134">
        <f t="shared" si="1"/>
        <v>14138</v>
      </c>
    </row>
    <row r="58" spans="1:8" x14ac:dyDescent="0.2">
      <c r="A58" s="131">
        <v>48</v>
      </c>
      <c r="B58" s="131" t="s">
        <v>211</v>
      </c>
      <c r="C58" s="133">
        <v>0</v>
      </c>
      <c r="D58" s="133">
        <v>14</v>
      </c>
      <c r="E58" s="133">
        <v>429</v>
      </c>
      <c r="F58" s="133">
        <v>721</v>
      </c>
      <c r="G58" s="134">
        <f t="shared" si="0"/>
        <v>1164</v>
      </c>
      <c r="H58" s="134">
        <f t="shared" si="1"/>
        <v>15302</v>
      </c>
    </row>
    <row r="59" spans="1:8" x14ac:dyDescent="0.2">
      <c r="A59" s="131">
        <v>49</v>
      </c>
      <c r="B59" s="131" t="s">
        <v>213</v>
      </c>
      <c r="C59" s="133">
        <v>0</v>
      </c>
      <c r="D59" s="133">
        <v>0</v>
      </c>
      <c r="E59" s="133">
        <v>0</v>
      </c>
      <c r="F59" s="133">
        <v>0</v>
      </c>
      <c r="G59" s="134">
        <f t="shared" si="0"/>
        <v>0</v>
      </c>
      <c r="H59" s="134">
        <f t="shared" si="1"/>
        <v>15302</v>
      </c>
    </row>
    <row r="60" spans="1:8" x14ac:dyDescent="0.2">
      <c r="A60" s="131">
        <v>50</v>
      </c>
      <c r="B60" s="131" t="s">
        <v>214</v>
      </c>
      <c r="C60" s="133">
        <v>0</v>
      </c>
      <c r="D60" s="133">
        <v>0</v>
      </c>
      <c r="E60" s="133">
        <v>0</v>
      </c>
      <c r="F60" s="133">
        <v>0</v>
      </c>
      <c r="G60" s="134">
        <f t="shared" si="0"/>
        <v>0</v>
      </c>
      <c r="H60" s="134">
        <f t="shared" si="1"/>
        <v>15302</v>
      </c>
    </row>
    <row r="61" spans="1:8" x14ac:dyDescent="0.2">
      <c r="A61" s="131">
        <v>51</v>
      </c>
      <c r="B61" s="131" t="s">
        <v>217</v>
      </c>
      <c r="C61" s="133">
        <v>0</v>
      </c>
      <c r="D61" s="133">
        <v>0</v>
      </c>
      <c r="E61" s="133">
        <v>0</v>
      </c>
      <c r="F61" s="133">
        <v>0</v>
      </c>
      <c r="G61" s="134">
        <f t="shared" si="0"/>
        <v>0</v>
      </c>
      <c r="H61" s="134">
        <f t="shared" si="1"/>
        <v>15302</v>
      </c>
    </row>
    <row r="62" spans="1:8" x14ac:dyDescent="0.2">
      <c r="A62" s="131">
        <v>52</v>
      </c>
      <c r="B62" s="131" t="s">
        <v>218</v>
      </c>
      <c r="C62" s="133">
        <v>0</v>
      </c>
      <c r="D62" s="133">
        <v>0</v>
      </c>
      <c r="E62" s="133">
        <v>0</v>
      </c>
      <c r="F62" s="133">
        <v>0</v>
      </c>
      <c r="G62" s="134">
        <f t="shared" si="0"/>
        <v>0</v>
      </c>
      <c r="H62" s="134">
        <f t="shared" si="1"/>
        <v>15302</v>
      </c>
    </row>
    <row r="63" spans="1:8" x14ac:dyDescent="0.2">
      <c r="A63" s="131" t="s">
        <v>116</v>
      </c>
      <c r="B63" s="131" t="s">
        <v>117</v>
      </c>
      <c r="C63" s="134">
        <f>SUM(C11:C62)</f>
        <v>724</v>
      </c>
      <c r="D63" s="134">
        <f>SUM(D11:D62)</f>
        <v>1694</v>
      </c>
      <c r="E63" s="134">
        <f>SUM(E11:E62)</f>
        <v>3524</v>
      </c>
      <c r="F63" s="134">
        <f>SUM(F11:F62)</f>
        <v>9360</v>
      </c>
      <c r="G63" s="134">
        <f>SUM(G11:G62)</f>
        <v>15302</v>
      </c>
      <c r="H63" s="134"/>
    </row>
    <row r="65" spans="1:1" x14ac:dyDescent="0.2">
      <c r="A65" t="s">
        <v>194</v>
      </c>
    </row>
  </sheetData>
  <mergeCells count="3">
    <mergeCell ref="A7:H7"/>
    <mergeCell ref="A8:H8"/>
    <mergeCell ref="A9:H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8" ma:contentTypeDescription="Create a new document." ma:contentTypeScope="" ma:versionID="67044263fe21af9ac3a1d12f29ca5c88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271ee2a5c7b3bc834aebdb2261501666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9116B3-2337-4424-8C7C-4A26F34BDFB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12B62A9-12F3-494C-9BD4-F57AED0C6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D1B0AE-D94E-4063-887F-22CAE3297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F86B06-DDBB-4ADD-9177-1B1E90CA4B19}">
  <ds:schemaRefs>
    <ds:schemaRef ds:uri="http://schemas.microsoft.com/office/2006/metadata/properties"/>
    <ds:schemaRef ds:uri="http://schemas.microsoft.com/office/infopath/2007/PartnerControls"/>
    <ds:schemaRef ds:uri="5d7b95ce-97cf-4a61-8884-fde260c16070"/>
    <ds:schemaRef ds:uri="25435354-646d-4f90-a923-d4d04749ea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Export destin -Uitvoer bestem.</vt:lpstr>
      <vt:lpstr>Imports from - Invoere vanaf </vt:lpstr>
      <vt:lpstr>Vorige - Prev Weekliks-Weekly</vt:lpstr>
      <vt:lpstr>Weekliks-Weekly</vt:lpstr>
      <vt:lpstr>Sheet1</vt:lpstr>
      <vt:lpstr>White Imports other countries</vt:lpstr>
      <vt:lpstr>Yellow Imports other countries</vt:lpstr>
      <vt:lpstr>White export for import</vt:lpstr>
      <vt:lpstr>Yellow export for import</vt:lpstr>
      <vt:lpstr>WM Imports per harbour</vt:lpstr>
      <vt:lpstr>YM Imports per harbour</vt:lpstr>
      <vt:lpstr>Geelmielie uitvoere</vt:lpstr>
      <vt:lpstr>Witmielie uitvoere</vt:lpstr>
      <vt:lpstr>Cumulative YM Exports</vt:lpstr>
      <vt:lpstr>Weeklikse uitvoere</vt:lpstr>
      <vt:lpstr>Cumulative WM Exports</vt:lpstr>
      <vt:lpstr>Cumulative Total Maize Exports</vt:lpstr>
      <vt:lpstr>Chart - Cum. uitvoere-exports</vt:lpstr>
      <vt:lpstr>Chart - Cum. invoere-impor </vt:lpstr>
      <vt:lpstr>Cummulative exports</vt:lpstr>
      <vt:lpstr>'Export destin -Uitvoer bestem.'!Print_Area</vt:lpstr>
      <vt:lpstr>'Imports from - Invoere vanaf '!Print_Area</vt:lpstr>
    </vt:vector>
  </TitlesOfParts>
  <Company>Nampo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Nampo</dc:creator>
  <cp:lastModifiedBy>Luzelle Botha</cp:lastModifiedBy>
  <cp:lastPrinted>2019-06-13T13:10:59Z</cp:lastPrinted>
  <dcterms:created xsi:type="dcterms:W3CDTF">2005-05-06T06:48:19Z</dcterms:created>
  <dcterms:modified xsi:type="dcterms:W3CDTF">2024-05-06T12:34:41Z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11269400.0000000</vt:lpwstr>
  </property>
  <property fmtid="{D5CDD505-2E9C-101B-9397-08002B2CF9AE}" pid="4" name="display_urn:schemas-microsoft-com:office:office#Author">
    <vt:lpwstr>Luzelle Botha</vt:lpwstr>
  </property>
  <property fmtid="{D5CDD505-2E9C-101B-9397-08002B2CF9AE}" pid="5" name="ContentTypeId">
    <vt:lpwstr>0x010100ED8EB078C1C8474F8AAD7AD9366D8E54</vt:lpwstr>
  </property>
  <property fmtid="{D5CDD505-2E9C-101B-9397-08002B2CF9AE}" pid="6" name="MediaServiceImageTags">
    <vt:lpwstr/>
  </property>
</Properties>
</file>