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5600" windowHeight="5265" tabRatio="906" activeTab="1"/>
  </bookViews>
  <sheets>
    <sheet name="Voorblad Front page" sheetId="1" r:id="rId1"/>
    <sheet name="Witmielies White maize" sheetId="2" r:id="rId2"/>
    <sheet name="Geelmielies Yellow maize" sheetId="3" r:id="rId3"/>
    <sheet name="Totaal mielies Total maize" sheetId="4" r:id="rId4"/>
    <sheet name="Sorghum" sheetId="5" r:id="rId5"/>
    <sheet name="Chart1 WM PROD YIELD" sheetId="6" r:id="rId6"/>
    <sheet name="Chart1 WM CONSUMP" sheetId="7" r:id="rId7"/>
    <sheet name="Chart1 WM IMP EXP" sheetId="8" r:id="rId8"/>
    <sheet name="Chart1 YM PROD YIELD" sheetId="9" r:id="rId9"/>
    <sheet name="Chart1 YM CONSUMP (2)" sheetId="10" r:id="rId10"/>
    <sheet name="Chart1 YM IMP EXP" sheetId="11" r:id="rId11"/>
    <sheet name="Chart1 TM PROD YIELD" sheetId="12" r:id="rId12"/>
    <sheet name="Chart1 TM CONSUMP" sheetId="13" r:id="rId13"/>
    <sheet name="Chart1 TM IMP EXP" sheetId="14" r:id="rId14"/>
    <sheet name="Chart 1 SORGH IMP EXP" sheetId="15" r:id="rId15"/>
    <sheet name="Chart1 SORGHUM CONSUMP" sheetId="16" r:id="rId16"/>
    <sheet name="Chart 1 SORG PROD &amp; YIELD" sheetId="17" r:id="rId17"/>
    <sheet name="Sheet1" sheetId="18" r:id="rId18"/>
  </sheets>
  <definedNames>
    <definedName name="_xlnm.Print_Area" localSheetId="2">'Geelmielies Yellow maize'!$A$1:$W$50</definedName>
    <definedName name="_xlnm.Print_Area" localSheetId="4">'Sorghum'!$A$1:$W$51</definedName>
    <definedName name="_xlnm.Print_Area" localSheetId="3">'Totaal mielies Total maize'!$A$1:$X$50</definedName>
    <definedName name="_xlnm.Print_Area" localSheetId="0">'Voorblad Front page'!$A$1:$B$33</definedName>
    <definedName name="_xlnm.Print_Area" localSheetId="1">'Witmielies White maize'!$A$1:$W$50</definedName>
  </definedNames>
  <calcPr fullCalcOnLoad="1"/>
</workbook>
</file>

<file path=xl/sharedStrings.xml><?xml version="1.0" encoding="utf-8"?>
<sst xmlns="http://schemas.openxmlformats.org/spreadsheetml/2006/main" count="483" uniqueCount="163">
  <si>
    <t>('000 ton)</t>
  </si>
  <si>
    <t xml:space="preserve"> 1998/99</t>
  </si>
  <si>
    <t xml:space="preserve"> 2000/01</t>
  </si>
  <si>
    <t>SAGIS</t>
  </si>
  <si>
    <t>Graan SA</t>
  </si>
  <si>
    <t>2000/01</t>
  </si>
  <si>
    <t>1998/99</t>
  </si>
  <si>
    <t>1997/98</t>
  </si>
  <si>
    <t xml:space="preserve"> 1997/98</t>
  </si>
  <si>
    <t>2001/02</t>
  </si>
  <si>
    <t xml:space="preserve"> 2001/02</t>
  </si>
  <si>
    <t>2002/03</t>
  </si>
  <si>
    <t>Kommersiële verbruik / Commercial consumption</t>
  </si>
  <si>
    <t xml:space="preserve">    Voedsel /   Food</t>
  </si>
  <si>
    <t xml:space="preserve">    Voer /   Feed</t>
  </si>
  <si>
    <t xml:space="preserve">    Totaal / Total</t>
  </si>
  <si>
    <t xml:space="preserve">    Omruilmaal /   Gristing</t>
  </si>
  <si>
    <t xml:space="preserve">   Uitvoere / Exports </t>
  </si>
  <si>
    <t>Totaal kommersiële vraag / Total commercial demand</t>
  </si>
  <si>
    <t>Eindvoorraad (30 April) / Carry-out (30 April)</t>
  </si>
  <si>
    <t>Benodigde pyplyn / Pipeline requirements</t>
  </si>
  <si>
    <t xml:space="preserve">Kommersiële aanbod / Commercial supply </t>
  </si>
  <si>
    <t>Invoere /Imports</t>
  </si>
  <si>
    <t>Totaal kommersiële aanbod /Total commercial supply</t>
  </si>
  <si>
    <t xml:space="preserve">   Produkte /   Products</t>
  </si>
  <si>
    <t xml:space="preserve">   Heelmielies /  Whole maize</t>
  </si>
  <si>
    <t xml:space="preserve">   Totaal /  Total</t>
  </si>
  <si>
    <t>NOTA / NOTE:</t>
  </si>
  <si>
    <t>Voedselverbruik / Food consumption</t>
  </si>
  <si>
    <t xml:space="preserve">Invoere / Imports </t>
  </si>
  <si>
    <t xml:space="preserve">Voerverbruik / Feed consumption  </t>
  </si>
  <si>
    <t>Totaal kommersiële verbruik / Total domestic demand</t>
  </si>
  <si>
    <t xml:space="preserve">  Totaal voer / Total feed  </t>
  </si>
  <si>
    <t>Totale vraag / Total  demand</t>
  </si>
  <si>
    <t>Kommersiële vraag / Commercial demand</t>
  </si>
  <si>
    <t>Totaal RSA verbruik (kommersieel) / Total RSA consumption (commercial )</t>
  </si>
  <si>
    <t>Totaal RSA verbruik (kommersieel) / Total RSA consumption (commercial)</t>
  </si>
  <si>
    <t xml:space="preserve">   Totaal voedsel / Total food</t>
  </si>
  <si>
    <t xml:space="preserve">         </t>
  </si>
  <si>
    <t>2003/04</t>
  </si>
  <si>
    <t>Graan SA : V&amp;A Projeksies / Somergrane</t>
  </si>
  <si>
    <t xml:space="preserve">   Grain SA  :  S&amp;D Projections / Summergrain</t>
  </si>
  <si>
    <t xml:space="preserve">        Bemarkingsjare / Marketing Years</t>
  </si>
  <si>
    <t xml:space="preserve">  </t>
  </si>
  <si>
    <t>2004/05</t>
  </si>
  <si>
    <t xml:space="preserve"> </t>
  </si>
  <si>
    <t>2005/06</t>
  </si>
  <si>
    <t>DIE VRAAG-EN-AANBOD VAN WITMIELIES IN DIE RSA</t>
  </si>
  <si>
    <t>THE SUPPLY AND DEMAND FOR WHITE MAIZE IN SOUTH AFRICA</t>
  </si>
  <si>
    <t>THE SUPPLY AND DEMAND FOR YELLOW MAIZE IN SOUTH AFRICA</t>
  </si>
  <si>
    <t>DIE VRAAG-EN-AANBOD VAN MIELIES IN DIE RSA</t>
  </si>
  <si>
    <t>THE SUPPLY AND DEMAND FOR  MAIZE IN SOUTH AFRICA</t>
  </si>
  <si>
    <t>Opgedateer / Updated :</t>
  </si>
  <si>
    <t xml:space="preserve">Opgedateer  / Updated </t>
  </si>
  <si>
    <t>2006/07</t>
  </si>
  <si>
    <t>2007/08</t>
  </si>
  <si>
    <t>Opgedateer  / Updated:</t>
  </si>
  <si>
    <t xml:space="preserve"> SAGIS</t>
  </si>
  <si>
    <t>Opbrengs/Yield (ton/ha)</t>
  </si>
  <si>
    <t>Oppervlak aangeplant/Area planted (x1 000 ha)</t>
  </si>
  <si>
    <t>Beginvoorraad (1 Mei) / Opening stocks (1 May )</t>
  </si>
  <si>
    <t>Surplus bo pyplyn/Surplus above pipeline</t>
  </si>
  <si>
    <t>Surplus bo pyplyn / Surplus above pipeline</t>
  </si>
  <si>
    <t>DIE VRAAG-EN-AANBOD VAN GEELMIELIES IN DIE RSA</t>
  </si>
  <si>
    <t>DIE VRAAG-EN-AANBOD VAN SORGHUM IN DIE RSA</t>
  </si>
  <si>
    <t>THE SUPPLY AND DEMAND FOR  SORGHUM IN SOUTH AFRICA</t>
  </si>
  <si>
    <t>2008/09</t>
  </si>
  <si>
    <t>Bemarkingsjaar/ Marketing Year</t>
  </si>
  <si>
    <t>Nota/Note:</t>
  </si>
  <si>
    <t>Bemarkingsjaar/Marketing Year</t>
  </si>
  <si>
    <t>Pipeline requirements are 45 days of commercial consumption.</t>
  </si>
  <si>
    <t>Pipeline requirements equals 45 days of commercial inland consumption.</t>
  </si>
  <si>
    <t>Pipeline requirements = 45 days of commercial consumption</t>
  </si>
  <si>
    <t>2009/10</t>
  </si>
  <si>
    <t>Eindvoorrade as % van totale kommersiële vraag/ Carry-out as a % of total commercial demand</t>
  </si>
  <si>
    <t>NOK produksie skatting/CEC crop estimate ('000ton)</t>
  </si>
  <si>
    <t>Benodigde pyplyn = 45 dae se kommersiële binnelandse verbruik / Pipeline requirements are 45 days of commercial consumption</t>
  </si>
  <si>
    <t>2010/11</t>
  </si>
  <si>
    <t>Ander verbruik / Other consumption</t>
  </si>
  <si>
    <t xml:space="preserve">Kommersiële lewerings / Commercial deliveries </t>
  </si>
  <si>
    <t>1999/00</t>
  </si>
  <si>
    <t xml:space="preserve"> 1999/00</t>
  </si>
  <si>
    <t>Eindvoorrade as % van RSA verbruik/ Carry-out as a % of RSA consumption</t>
  </si>
  <si>
    <t>08600 Grain</t>
  </si>
  <si>
    <t>2011/12</t>
  </si>
  <si>
    <t xml:space="preserve">    Voer / Feed</t>
  </si>
  <si>
    <t xml:space="preserve">    Voedsel / Food</t>
  </si>
  <si>
    <t>SAGIS number: Source SAGIS SMB (Surplus, Net receipts(-)/disp(+), Deficit)</t>
  </si>
  <si>
    <t xml:space="preserve">    Onttrek deur produsente / Withdrawn by producers</t>
  </si>
  <si>
    <t xml:space="preserve">    Vrygestel aan eindverbruikers / Released to end consumers</t>
  </si>
  <si>
    <t xml:space="preserve">    SAGIS (Nota 8)</t>
  </si>
  <si>
    <t xml:space="preserve"> Terughoudings en saadproduksie / Retentions and Production of Seed</t>
  </si>
  <si>
    <t>Beskikbaar vir kommersiële lewerings / Avalable for Commercial Deliveries</t>
  </si>
  <si>
    <t xml:space="preserve">   Binnenshuise vermouting / Indoor malting</t>
  </si>
  <si>
    <t xml:space="preserve">   Vloervermouting / Floor malting</t>
  </si>
  <si>
    <t xml:space="preserve">   Meel, rys en gruis / Meal, rice and grits</t>
  </si>
  <si>
    <t xml:space="preserve">   Troeteldier / Pet Food</t>
  </si>
  <si>
    <t xml:space="preserve">   Pluimvee / Poultry</t>
  </si>
  <si>
    <t xml:space="preserve">   Ander lewende hawe voer /  Other livestock feed</t>
  </si>
  <si>
    <t>Biobrandstof / Biofuel</t>
  </si>
  <si>
    <t xml:space="preserve">  Ontrek deur produsente / Withdrawn by producers</t>
  </si>
  <si>
    <t xml:space="preserve">  Vrygestel aan eindverbruikers / Released to end consumers</t>
  </si>
  <si>
    <t xml:space="preserve">  SAGIS (Nota 8 / Note 8)</t>
  </si>
  <si>
    <t xml:space="preserve">  Uitvoere / Exports </t>
  </si>
  <si>
    <t xml:space="preserve">  Totaal ander verbruik / Total other consumption</t>
  </si>
  <si>
    <t>GSA's projections for the 2012/13 marketing year are based on the CEC's area planted and final production</t>
  </si>
  <si>
    <t>GSA's projections for the 2012/13 marketing year are based on the CEC's area planted and final production forecast</t>
  </si>
  <si>
    <t xml:space="preserve">Die syfer vir terughoudings en saadproduksie word verkry uit die NOK opname onder produsente gedurende einde Nov elke jaar </t>
  </si>
  <si>
    <t xml:space="preserve">The number for retention and seed production are obtained from the CEC survey unde rproducers at the end of Nov each year. </t>
  </si>
  <si>
    <t>** GSA projeksie / projection</t>
  </si>
  <si>
    <t>* Graan SA beraming / estimate</t>
  </si>
  <si>
    <t>%</t>
  </si>
  <si>
    <t>Change from previous year</t>
  </si>
  <si>
    <t>NOTA:NOTE</t>
  </si>
  <si>
    <t>GSA's projections for the 2012/13 marketing year are based on the CEC's area planted and final reconciliation and revised crop</t>
  </si>
  <si>
    <t>production figures of commercial maize for the 2012 production season</t>
  </si>
  <si>
    <t>SUMMARY</t>
  </si>
  <si>
    <t>Kommersiële aanbod / Commercial Supply</t>
  </si>
  <si>
    <t>Totale  kommersiële aanbod / Total commercial supply</t>
  </si>
  <si>
    <t>Kommersiële vraag / Commercial Demand</t>
  </si>
  <si>
    <t>2012/13</t>
  </si>
  <si>
    <t>GSA Projection</t>
  </si>
  <si>
    <t>GSA projection</t>
  </si>
  <si>
    <t>2014/15**</t>
  </si>
  <si>
    <t>Eindvoorraad (28 Februarie) / Carry-out (28 February)</t>
  </si>
  <si>
    <t>2013/14</t>
  </si>
  <si>
    <t>GSA Projections</t>
  </si>
  <si>
    <t>Beginvoorraad (1 Maart) / Opening stocks (1 March)</t>
  </si>
  <si>
    <t>GSA's projections for the 2013/14 marketing year is based on the CEC's revisedcrop production figures of commercial maize for the 2013 production season .</t>
  </si>
  <si>
    <t>Minus: vroeë lewerings 2014 / Early Deliveries 2014</t>
  </si>
  <si>
    <t>Minus: vroeë lewerings 2014/ Early Deliveries 2014</t>
  </si>
  <si>
    <t>Plus: vroeë lewerings 2015 / Early Deliveries 2015</t>
  </si>
  <si>
    <t>Scenario 2</t>
  </si>
  <si>
    <t>Verhoogde verbruik</t>
  </si>
  <si>
    <t>Wessel Lemmer &amp; Funzani Sundani</t>
  </si>
  <si>
    <t>wessel@grainsa.co.za</t>
  </si>
  <si>
    <t>funzani@grainsa.co.za</t>
  </si>
  <si>
    <t>25 Aug</t>
  </si>
  <si>
    <t>Change from previous month</t>
  </si>
  <si>
    <t>SAGIS reported sorghum imports figures during 2014/15 as 8 725  tons.</t>
  </si>
  <si>
    <t xml:space="preserve">SAGIS reported producer deliveries of white maize during 2014/15 till the end of August 2014 as 6 882 758 tons. </t>
  </si>
  <si>
    <t>Exports in 2014/15 marketing year till end Aug 2014 comprised of 191 076 tons whole maize and 32 392 tons maize products.</t>
  </si>
  <si>
    <t>SAGIS reported imports of white maize during 2014/15 till end of August 2014 as 0 tons.</t>
  </si>
  <si>
    <t>Stocks available at the end of August 2014 as reported by SAGIS = 4 968 848  tons.</t>
  </si>
  <si>
    <t>SAGIS reported producer deliveries of yellow maize during 2014/15 till the end of Aug 2014 as 5 498 953 tons.</t>
  </si>
  <si>
    <t xml:space="preserve">SAGIS reported imports of yellow maize during 2014/15 till end of Aug 2014 as 0 tons. </t>
  </si>
  <si>
    <t>Exports in 2014/15 till end of Aug  2014 is 990 633 tons whole maize and 35 339 tons maize products.</t>
  </si>
  <si>
    <t xml:space="preserve">Stocks available at the end of Aug 2014 as reported by SAGIS = 3 389 945 tons </t>
  </si>
  <si>
    <t>Exports in the 2013/14 marketing year till end of Aug 2014 are  1 181 709 tons whole maize and 67 731 tons maize products.</t>
  </si>
  <si>
    <t>Stocks available end of Aug 2014 as reported by SAGIS = 8 358 793 tons.</t>
  </si>
  <si>
    <t>SAGIS reported  producer deliveries of Sorghum during 2014/15 as 252 182 tons (sweet = 159 672 tons and bitter = 92 512 tons).</t>
  </si>
  <si>
    <t>SAGIS reported  Sorghum exports figures during 2014/15 as 11 214 tons.</t>
  </si>
  <si>
    <t>Stocks available for the 2014/15 marketing year as reported by SAGIS: Sweet = 137 571  tons &amp; Bitter =74 004 tons. Total = 211 575 tons.</t>
  </si>
  <si>
    <t>30 Sep</t>
  </si>
  <si>
    <t>The National Crop Estimates Committee estimated the 2013/14 final area planted and crop production figures for white maize crop at 5 545 000 tons on 1 617 200 hectares (3.43 ton/ha). The CEC estimated the 2014/15 white maize area planted and final production forecast at 7 697 350 tons on 1 551 200 hectares (4.96 ton/ha).</t>
  </si>
  <si>
    <t>GSA's estimate for the 2012/13 marketing year are based on the CEC's area planted and final production forecast and for the 2013/14 marketing year on the CEC's final area planted and crop production figures of commercial summer crops. GSA's projections for the 2014/15 marketing year are based on the CEC' s area planted and final production forecast as well as GSA's scenarios.</t>
  </si>
  <si>
    <t>The National Crop Estimates Committee estimated the 2013/14 final area planted and crop production figures of yellow maize at  6 145 000 tons on 1 164 000 hectares (5.28 ton/ha). The CEC estimated the 2014/15 yellow maize area planted and final production estimate at 6 609 700 tons on 1 137 000 hectares (5.81 ton/ha)</t>
  </si>
  <si>
    <t xml:space="preserve"> forecast and for the 2013/14 marketing year on the CEC's final area planted and crop productionfigures of commercial summer crops. GSA's projections for the 2014/15 marketing year are based on the CEC' area planted and final production estimate as well as  GSA's scenarios.</t>
  </si>
  <si>
    <t>The National Crop Estimates Committee estimated the 2013/14 final area planted and crop production figures of total maize  at 11 690 000 tons on 2 781 200 hectares (4.20ton/ha). The CEC estimated the 2014/15 area planted and final production estimate at 14 307 050 tons on 2 668 200 hectares (5.32ton/ha).</t>
  </si>
  <si>
    <t>and for the 2013/14 marketing year on the CEC's final area planted and crop production figures of commercial summer crops. GSA's 2014/15 projections are based on the CEC's area planted and final production estimate as well as GSA's scenarios.</t>
  </si>
  <si>
    <t>The National Crop Estimates Committee estimated the 2013/14 marketing year's area planted and final production estimate as 147 200 tons on 62 620 hectares (2.35 ton/ha). The CEC estimated the 2014/15 sorghum area planted and final production estimate as 268 920 tons on 78 850 hectares (3.41 ton/ha).</t>
  </si>
  <si>
    <t>GSA's projections for the 2012/13 marketing year are based on the CEC's area planted and final reconciliation and 2013/14 marketing year on the CEC's area planted and the finalisation of the 2013 summer crop. GSA's projections for the 2014/15 marketing year are based on the CEC's area planted and final production estimate as well as GSA's scenarios.</t>
  </si>
  <si>
    <t>GSA's projections for the 2014/15 marketing year are based on the CEC's area planted and final production estimate as well as  GSA's scenarios.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</si>
</sst>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0"/>
    <numFmt numFmtId="165" formatCode="0.0"/>
    <numFmt numFmtId="166" formatCode="#\ ###"/>
    <numFmt numFmtId="167" formatCode="###\ ###\ ###"/>
    <numFmt numFmtId="168" formatCode="###\ ###\ ##0"/>
    <numFmt numFmtId="169" formatCode="[$-409]d\-mmm\-yyyy;@"/>
    <numFmt numFmtId="170" formatCode="[$-409]d\-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0.000"/>
    <numFmt numFmtId="177" formatCode="0.0000"/>
    <numFmt numFmtId="178" formatCode="0.00000"/>
    <numFmt numFmtId="179" formatCode="###.0\ ###\ ###"/>
    <numFmt numFmtId="180" formatCode="###.###\ ###"/>
    <numFmt numFmtId="181" formatCode="###.##\ ###"/>
    <numFmt numFmtId="182" formatCode="###.####\ ###"/>
    <numFmt numFmtId="183" formatCode="###.#####\ ###"/>
    <numFmt numFmtId="184" formatCode="###.######\ ###"/>
    <numFmt numFmtId="185" formatCode="0.0000000"/>
    <numFmt numFmtId="186" formatCode="#.0\ ###"/>
    <numFmt numFmtId="187" formatCode="#.00\ ###"/>
    <numFmt numFmtId="188" formatCode="#.000\ ###"/>
    <numFmt numFmtId="189" formatCode="#.0000\ ###"/>
    <numFmt numFmtId="190" formatCode="#.00000\ ###"/>
    <numFmt numFmtId="191" formatCode="#.###"/>
    <numFmt numFmtId="192" formatCode="#.##"/>
    <numFmt numFmtId="193" formatCode="#.#"/>
    <numFmt numFmtId="194" formatCode="#"/>
    <numFmt numFmtId="195" formatCode="#.0"/>
    <numFmt numFmtId="196" formatCode="#.00"/>
    <numFmt numFmtId="197" formatCode="#.000"/>
    <numFmt numFmtId="198" formatCode="#.0000"/>
    <numFmt numFmtId="199" formatCode="###.#\ ###"/>
    <numFmt numFmtId="200" formatCode="###.###"/>
    <numFmt numFmtId="201" formatCode="###.##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2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1"/>
      <name val="Calibri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92D050"/>
      <name val="Arial"/>
      <family val="2"/>
    </font>
    <font>
      <b/>
      <sz val="10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78">
    <xf numFmtId="1" fontId="0" fillId="0" borderId="0" xfId="0" applyAlignment="1">
      <alignment/>
    </xf>
    <xf numFmtId="1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Font="1" applyAlignment="1">
      <alignment horizontal="center"/>
    </xf>
    <xf numFmtId="1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" fontId="3" fillId="0" borderId="0" xfId="0" applyFont="1" applyAlignment="1">
      <alignment/>
    </xf>
    <xf numFmtId="1" fontId="4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Font="1" applyAlignment="1">
      <alignment horizontal="right"/>
    </xf>
    <xf numFmtId="1" fontId="0" fillId="0" borderId="0" xfId="0" applyFont="1" applyBorder="1" applyAlignment="1">
      <alignment/>
    </xf>
    <xf numFmtId="1" fontId="0" fillId="0" borderId="10" xfId="0" applyFont="1" applyBorder="1" applyAlignment="1">
      <alignment/>
    </xf>
    <xf numFmtId="1" fontId="2" fillId="0" borderId="10" xfId="0" applyFont="1" applyBorder="1" applyAlignment="1">
      <alignment/>
    </xf>
    <xf numFmtId="1" fontId="2" fillId="0" borderId="11" xfId="0" applyFont="1" applyBorder="1" applyAlignment="1">
      <alignment/>
    </xf>
    <xf numFmtId="1" fontId="0" fillId="0" borderId="12" xfId="0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0" fillId="0" borderId="15" xfId="0" applyFont="1" applyBorder="1" applyAlignment="1">
      <alignment/>
    </xf>
    <xf numFmtId="1" fontId="2" fillId="0" borderId="16" xfId="0" applyFont="1" applyBorder="1" applyAlignment="1">
      <alignment horizontal="left"/>
    </xf>
    <xf numFmtId="1" fontId="0" fillId="0" borderId="17" xfId="0" applyFont="1" applyBorder="1" applyAlignment="1">
      <alignment/>
    </xf>
    <xf numFmtId="1" fontId="2" fillId="0" borderId="17" xfId="0" applyFont="1" applyBorder="1" applyAlignment="1">
      <alignment/>
    </xf>
    <xf numFmtId="1" fontId="2" fillId="0" borderId="18" xfId="0" applyFont="1" applyBorder="1" applyAlignment="1">
      <alignment/>
    </xf>
    <xf numFmtId="1" fontId="2" fillId="0" borderId="19" xfId="0" applyFont="1" applyBorder="1" applyAlignment="1">
      <alignment/>
    </xf>
    <xf numFmtId="15" fontId="0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" fontId="7" fillId="0" borderId="0" xfId="0" applyFont="1" applyAlignment="1">
      <alignment/>
    </xf>
    <xf numFmtId="1" fontId="2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" fontId="0" fillId="0" borderId="17" xfId="0" applyBorder="1" applyAlignment="1">
      <alignment/>
    </xf>
    <xf numFmtId="1" fontId="0" fillId="0" borderId="20" xfId="0" applyBorder="1" applyAlignment="1">
      <alignment/>
    </xf>
    <xf numFmtId="1" fontId="0" fillId="0" borderId="21" xfId="0" applyBorder="1" applyAlignment="1">
      <alignment/>
    </xf>
    <xf numFmtId="164" fontId="2" fillId="0" borderId="0" xfId="0" applyNumberFormat="1" applyFont="1" applyBorder="1" applyAlignment="1">
      <alignment/>
    </xf>
    <xf numFmtId="1" fontId="0" fillId="0" borderId="13" xfId="0" applyFont="1" applyBorder="1" applyAlignment="1">
      <alignment/>
    </xf>
    <xf numFmtId="1" fontId="2" fillId="0" borderId="15" xfId="0" applyFont="1" applyBorder="1" applyAlignment="1">
      <alignment/>
    </xf>
    <xf numFmtId="1" fontId="0" fillId="0" borderId="1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Font="1" applyFill="1" applyBorder="1" applyAlignment="1">
      <alignment/>
    </xf>
    <xf numFmtId="167" fontId="0" fillId="0" borderId="0" xfId="0" applyNumberFormat="1" applyFont="1" applyAlignment="1">
      <alignment horizontal="left"/>
    </xf>
    <xf numFmtId="1" fontId="2" fillId="0" borderId="13" xfId="0" applyFont="1" applyBorder="1" applyAlignment="1">
      <alignment horizontal="left"/>
    </xf>
    <xf numFmtId="49" fontId="10" fillId="0" borderId="2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9" fontId="0" fillId="0" borderId="2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61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1" fontId="0" fillId="0" borderId="0" xfId="0" applyFont="1" applyFill="1" applyAlignment="1">
      <alignment/>
    </xf>
    <xf numFmtId="1" fontId="0" fillId="0" borderId="13" xfId="0" applyFont="1" applyFill="1" applyBorder="1" applyAlignment="1">
      <alignment/>
    </xf>
    <xf numFmtId="167" fontId="0" fillId="0" borderId="24" xfId="0" applyNumberFormat="1" applyFont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left"/>
    </xf>
    <xf numFmtId="167" fontId="0" fillId="0" borderId="26" xfId="0" applyNumberFormat="1" applyFont="1" applyBorder="1" applyAlignment="1">
      <alignment horizontal="right"/>
    </xf>
    <xf numFmtId="167" fontId="0" fillId="0" borderId="13" xfId="0" applyNumberFormat="1" applyFont="1" applyBorder="1" applyAlignment="1">
      <alignment horizontal="right"/>
    </xf>
    <xf numFmtId="167" fontId="0" fillId="0" borderId="27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center"/>
    </xf>
    <xf numFmtId="1" fontId="0" fillId="0" borderId="26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1" fontId="0" fillId="0" borderId="20" xfId="0" applyFont="1" applyBorder="1" applyAlignment="1">
      <alignment/>
    </xf>
    <xf numFmtId="1" fontId="0" fillId="0" borderId="21" xfId="0" applyFont="1" applyBorder="1" applyAlignment="1">
      <alignment/>
    </xf>
    <xf numFmtId="1" fontId="2" fillId="0" borderId="29" xfId="0" applyFont="1" applyBorder="1" applyAlignment="1">
      <alignment/>
    </xf>
    <xf numFmtId="164" fontId="0" fillId="0" borderId="24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" fontId="0" fillId="0" borderId="13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0" fillId="0" borderId="33" xfId="0" applyNumberFormat="1" applyFont="1" applyBorder="1" applyAlignment="1">
      <alignment horizontal="right"/>
    </xf>
    <xf numFmtId="167" fontId="0" fillId="0" borderId="32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33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0" fillId="0" borderId="34" xfId="0" applyNumberFormat="1" applyFont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1" fontId="0" fillId="0" borderId="35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0" fillId="0" borderId="37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31" xfId="0" applyNumberFormat="1" applyFont="1" applyBorder="1" applyAlignment="1">
      <alignment horizontal="right"/>
    </xf>
    <xf numFmtId="167" fontId="2" fillId="0" borderId="25" xfId="0" applyNumberFormat="1" applyFont="1" applyBorder="1" applyAlignment="1">
      <alignment horizontal="right"/>
    </xf>
    <xf numFmtId="167" fontId="2" fillId="0" borderId="38" xfId="0" applyNumberFormat="1" applyFont="1" applyBorder="1" applyAlignment="1">
      <alignment horizontal="right"/>
    </xf>
    <xf numFmtId="167" fontId="2" fillId="0" borderId="14" xfId="0" applyNumberFormat="1" applyFont="1" applyFill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26" xfId="0" applyNumberFormat="1" applyFont="1" applyBorder="1" applyAlignment="1">
      <alignment horizontal="right"/>
    </xf>
    <xf numFmtId="167" fontId="2" fillId="0" borderId="27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2" fillId="0" borderId="39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2" fillId="0" borderId="33" xfId="0" applyNumberFormat="1" applyFont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" fontId="0" fillId="0" borderId="33" xfId="0" applyFont="1" applyBorder="1" applyAlignment="1">
      <alignment horizontal="right"/>
    </xf>
    <xf numFmtId="1" fontId="9" fillId="0" borderId="10" xfId="0" applyFont="1" applyBorder="1" applyAlignment="1">
      <alignment horizontal="right"/>
    </xf>
    <xf numFmtId="167" fontId="0" fillId="0" borderId="35" xfId="0" applyNumberFormat="1" applyFont="1" applyBorder="1" applyAlignment="1">
      <alignment horizontal="right"/>
    </xf>
    <xf numFmtId="167" fontId="0" fillId="0" borderId="36" xfId="0" applyNumberFormat="1" applyFont="1" applyBorder="1" applyAlignment="1">
      <alignment horizontal="right"/>
    </xf>
    <xf numFmtId="167" fontId="0" fillId="0" borderId="37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7" fontId="0" fillId="0" borderId="40" xfId="0" applyNumberFormat="1" applyFont="1" applyBorder="1" applyAlignment="1">
      <alignment horizontal="right"/>
    </xf>
    <xf numFmtId="167" fontId="0" fillId="0" borderId="11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167" fontId="0" fillId="0" borderId="41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31" xfId="0" applyNumberFormat="1" applyFont="1" applyBorder="1" applyAlignment="1">
      <alignment horizontal="right"/>
    </xf>
    <xf numFmtId="166" fontId="0" fillId="0" borderId="15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" fontId="0" fillId="0" borderId="10" xfId="0" applyFont="1" applyFill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2" fillId="0" borderId="37" xfId="0" applyNumberFormat="1" applyFont="1" applyBorder="1" applyAlignment="1">
      <alignment horizontal="right"/>
    </xf>
    <xf numFmtId="166" fontId="2" fillId="0" borderId="42" xfId="0" applyNumberFormat="1" applyFont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167" fontId="10" fillId="0" borderId="13" xfId="0" applyNumberFormat="1" applyFont="1" applyBorder="1" applyAlignment="1">
      <alignment horizontal="right"/>
    </xf>
    <xf numFmtId="167" fontId="10" fillId="0" borderId="27" xfId="0" applyNumberFormat="1" applyFont="1" applyBorder="1" applyAlignment="1">
      <alignment horizontal="right"/>
    </xf>
    <xf numFmtId="167" fontId="10" fillId="0" borderId="26" xfId="0" applyNumberFormat="1" applyFont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10" xfId="0" applyNumberFormat="1" applyFont="1" applyBorder="1" applyAlignment="1">
      <alignment horizontal="right"/>
    </xf>
    <xf numFmtId="167" fontId="10" fillId="0" borderId="32" xfId="0" applyNumberFormat="1" applyFont="1" applyBorder="1" applyAlignment="1">
      <alignment horizontal="right"/>
    </xf>
    <xf numFmtId="167" fontId="10" fillId="0" borderId="33" xfId="0" applyNumberFormat="1" applyFont="1" applyBorder="1" applyAlignment="1">
      <alignment horizontal="right"/>
    </xf>
    <xf numFmtId="167" fontId="10" fillId="0" borderId="10" xfId="0" applyNumberFormat="1" applyFont="1" applyFill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166" fontId="0" fillId="0" borderId="27" xfId="0" applyNumberFormat="1" applyFont="1" applyBorder="1" applyAlignment="1">
      <alignment horizontal="right"/>
    </xf>
    <xf numFmtId="1" fontId="0" fillId="0" borderId="18" xfId="0" applyFont="1" applyBorder="1" applyAlignment="1">
      <alignment horizontal="right"/>
    </xf>
    <xf numFmtId="1" fontId="0" fillId="0" borderId="13" xfId="0" applyFont="1" applyFill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166" fontId="9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164" fontId="0" fillId="0" borderId="26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7" fontId="9" fillId="0" borderId="17" xfId="0" applyNumberFormat="1" applyFont="1" applyBorder="1" applyAlignment="1">
      <alignment horizontal="right"/>
    </xf>
    <xf numFmtId="1" fontId="9" fillId="0" borderId="17" xfId="0" applyFont="1" applyBorder="1" applyAlignment="1">
      <alignment horizontal="right"/>
    </xf>
    <xf numFmtId="167" fontId="9" fillId="0" borderId="2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6" fontId="9" fillId="0" borderId="2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4" fontId="2" fillId="0" borderId="42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6" fontId="8" fillId="0" borderId="29" xfId="0" applyNumberFormat="1" applyFont="1" applyBorder="1" applyAlignment="1">
      <alignment horizontal="right"/>
    </xf>
    <xf numFmtId="167" fontId="10" fillId="0" borderId="22" xfId="0" applyNumberFormat="1" applyFont="1" applyBorder="1" applyAlignment="1">
      <alignment horizontal="right"/>
    </xf>
    <xf numFmtId="167" fontId="10" fillId="0" borderId="43" xfId="0" applyNumberFormat="1" applyFont="1" applyBorder="1" applyAlignment="1">
      <alignment horizontal="right"/>
    </xf>
    <xf numFmtId="167" fontId="0" fillId="0" borderId="27" xfId="0" applyNumberForma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32" xfId="0" applyNumberFormat="1" applyBorder="1" applyAlignment="1">
      <alignment horizontal="right"/>
    </xf>
    <xf numFmtId="167" fontId="9" fillId="0" borderId="10" xfId="0" applyNumberFormat="1" applyFon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36" xfId="0" applyNumberForma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167" fontId="8" fillId="0" borderId="14" xfId="0" applyNumberFormat="1" applyFont="1" applyBorder="1" applyAlignment="1">
      <alignment horizontal="right"/>
    </xf>
    <xf numFmtId="167" fontId="2" fillId="0" borderId="32" xfId="0" applyNumberFormat="1" applyFont="1" applyBorder="1" applyAlignment="1">
      <alignment horizontal="right"/>
    </xf>
    <xf numFmtId="167" fontId="8" fillId="0" borderId="10" xfId="0" applyNumberFormat="1" applyFon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9" fillId="0" borderId="15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7" fontId="8" fillId="0" borderId="11" xfId="0" applyNumberFormat="1" applyFont="1" applyBorder="1" applyAlignment="1">
      <alignment horizontal="right"/>
    </xf>
    <xf numFmtId="167" fontId="10" fillId="0" borderId="22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0" fillId="0" borderId="27" xfId="0" applyFont="1" applyBorder="1" applyAlignment="1">
      <alignment/>
    </xf>
    <xf numFmtId="1" fontId="0" fillId="0" borderId="13" xfId="0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" fontId="0" fillId="0" borderId="44" xfId="0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13" xfId="0" applyFont="1" applyFill="1" applyBorder="1" applyAlignment="1">
      <alignment/>
    </xf>
    <xf numFmtId="1" fontId="0" fillId="0" borderId="0" xfId="0" applyFont="1" applyFill="1" applyBorder="1" applyAlignment="1">
      <alignment/>
    </xf>
    <xf numFmtId="1" fontId="2" fillId="0" borderId="16" xfId="0" applyFont="1" applyBorder="1" applyAlignment="1">
      <alignment/>
    </xf>
    <xf numFmtId="167" fontId="0" fillId="0" borderId="22" xfId="0" applyNumberFormat="1" applyBorder="1" applyAlignment="1">
      <alignment horizontal="right"/>
    </xf>
    <xf numFmtId="167" fontId="0" fillId="0" borderId="43" xfId="0" applyNumberFormat="1" applyBorder="1" applyAlignment="1">
      <alignment horizontal="right"/>
    </xf>
    <xf numFmtId="167" fontId="9" fillId="0" borderId="22" xfId="0" applyNumberFormat="1" applyFont="1" applyBorder="1" applyAlignment="1">
      <alignment horizontal="right"/>
    </xf>
    <xf numFmtId="167" fontId="2" fillId="0" borderId="42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0" fillId="0" borderId="43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2" fillId="0" borderId="41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45" xfId="0" applyNumberFormat="1" applyFont="1" applyBorder="1" applyAlignment="1">
      <alignment horizontal="right"/>
    </xf>
    <xf numFmtId="167" fontId="2" fillId="0" borderId="46" xfId="0" applyNumberFormat="1" applyFont="1" applyBorder="1" applyAlignment="1">
      <alignment horizontal="right"/>
    </xf>
    <xf numFmtId="167" fontId="2" fillId="0" borderId="46" xfId="0" applyNumberFormat="1" applyFont="1" applyFill="1" applyBorder="1" applyAlignment="1">
      <alignment horizontal="right"/>
    </xf>
    <xf numFmtId="1" fontId="2" fillId="0" borderId="21" xfId="0" applyFont="1" applyBorder="1" applyAlignment="1">
      <alignment/>
    </xf>
    <xf numFmtId="167" fontId="2" fillId="0" borderId="19" xfId="0" applyNumberFormat="1" applyFont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1" fontId="10" fillId="0" borderId="21" xfId="0" applyFont="1" applyBorder="1" applyAlignment="1">
      <alignment horizontal="right"/>
    </xf>
    <xf numFmtId="1" fontId="10" fillId="0" borderId="28" xfId="0" applyFont="1" applyBorder="1" applyAlignment="1">
      <alignment horizontal="right"/>
    </xf>
    <xf numFmtId="164" fontId="2" fillId="0" borderId="31" xfId="0" applyNumberFormat="1" applyFont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right"/>
    </xf>
    <xf numFmtId="167" fontId="8" fillId="0" borderId="15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1" fontId="10" fillId="0" borderId="19" xfId="0" applyFont="1" applyBorder="1" applyAlignment="1">
      <alignment horizontal="right"/>
    </xf>
    <xf numFmtId="1" fontId="0" fillId="0" borderId="14" xfId="0" applyFont="1" applyBorder="1" applyAlignment="1">
      <alignment horizontal="right"/>
    </xf>
    <xf numFmtId="1" fontId="0" fillId="0" borderId="25" xfId="0" applyFont="1" applyBorder="1" applyAlignment="1">
      <alignment horizontal="right"/>
    </xf>
    <xf numFmtId="1" fontId="0" fillId="0" borderId="31" xfId="0" applyFont="1" applyBorder="1" applyAlignment="1">
      <alignment horizontal="right"/>
    </xf>
    <xf numFmtId="167" fontId="0" fillId="0" borderId="31" xfId="0" applyNumberFormat="1" applyFont="1" applyBorder="1" applyAlignment="1">
      <alignment horizontal="center"/>
    </xf>
    <xf numFmtId="167" fontId="0" fillId="0" borderId="4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0" xfId="0" applyFont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167" fontId="10" fillId="33" borderId="22" xfId="0" applyNumberFormat="1" applyFont="1" applyFill="1" applyBorder="1" applyAlignment="1">
      <alignment/>
    </xf>
    <xf numFmtId="167" fontId="10" fillId="33" borderId="10" xfId="0" applyNumberFormat="1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167" fontId="2" fillId="33" borderId="14" xfId="0" applyNumberFormat="1" applyFont="1" applyFill="1" applyBorder="1" applyAlignment="1">
      <alignment horizontal="center"/>
    </xf>
    <xf numFmtId="167" fontId="0" fillId="33" borderId="14" xfId="0" applyNumberFormat="1" applyFont="1" applyFill="1" applyBorder="1" applyAlignment="1">
      <alignment horizontal="center"/>
    </xf>
    <xf numFmtId="1" fontId="0" fillId="33" borderId="13" xfId="0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67" fontId="10" fillId="0" borderId="22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49" fontId="2" fillId="0" borderId="19" xfId="0" applyNumberFormat="1" applyFont="1" applyFill="1" applyBorder="1" applyAlignment="1">
      <alignment horizontal="center"/>
    </xf>
    <xf numFmtId="167" fontId="10" fillId="0" borderId="18" xfId="0" applyNumberFormat="1" applyFont="1" applyBorder="1" applyAlignment="1">
      <alignment horizontal="right"/>
    </xf>
    <xf numFmtId="167" fontId="10" fillId="0" borderId="17" xfId="0" applyNumberFormat="1" applyFont="1" applyBorder="1" applyAlignment="1">
      <alignment horizontal="right"/>
    </xf>
    <xf numFmtId="167" fontId="2" fillId="0" borderId="19" xfId="0" applyNumberFormat="1" applyFont="1" applyFill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1" fontId="0" fillId="0" borderId="18" xfId="0" applyFont="1" applyFill="1" applyBorder="1" applyAlignment="1">
      <alignment horizontal="right"/>
    </xf>
    <xf numFmtId="166" fontId="9" fillId="0" borderId="17" xfId="0" applyNumberFormat="1" applyFont="1" applyFill="1" applyBorder="1" applyAlignment="1">
      <alignment horizontal="right"/>
    </xf>
    <xf numFmtId="167" fontId="9" fillId="0" borderId="20" xfId="0" applyNumberFormat="1" applyFont="1" applyFill="1" applyBorder="1" applyAlignment="1">
      <alignment horizontal="right"/>
    </xf>
    <xf numFmtId="167" fontId="2" fillId="0" borderId="19" xfId="0" applyNumberFormat="1" applyFont="1" applyFill="1" applyBorder="1" applyAlignment="1">
      <alignment horizontal="right"/>
    </xf>
    <xf numFmtId="167" fontId="2" fillId="0" borderId="21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7" fontId="8" fillId="0" borderId="19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" fontId="0" fillId="0" borderId="17" xfId="0" applyFont="1" applyFill="1" applyBorder="1" applyAlignment="1">
      <alignment horizontal="right"/>
    </xf>
    <xf numFmtId="166" fontId="2" fillId="0" borderId="29" xfId="0" applyNumberFormat="1" applyFont="1" applyFill="1" applyBorder="1" applyAlignment="1">
      <alignment horizontal="right"/>
    </xf>
    <xf numFmtId="167" fontId="9" fillId="0" borderId="12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" fontId="10" fillId="0" borderId="22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1" fontId="12" fillId="0" borderId="0" xfId="0" applyFont="1" applyAlignment="1">
      <alignment/>
    </xf>
    <xf numFmtId="1" fontId="0" fillId="0" borderId="0" xfId="0" applyFont="1" applyAlignment="1">
      <alignment wrapText="1"/>
    </xf>
    <xf numFmtId="167" fontId="10" fillId="33" borderId="22" xfId="0" applyNumberFormat="1" applyFont="1" applyFill="1" applyBorder="1" applyAlignment="1">
      <alignment horizontal="right"/>
    </xf>
    <xf numFmtId="167" fontId="10" fillId="33" borderId="10" xfId="0" applyNumberFormat="1" applyFont="1" applyFill="1" applyBorder="1" applyAlignment="1">
      <alignment horizontal="right"/>
    </xf>
    <xf numFmtId="167" fontId="0" fillId="33" borderId="24" xfId="0" applyNumberFormat="1" applyFont="1" applyFill="1" applyBorder="1" applyAlignment="1">
      <alignment horizontal="center"/>
    </xf>
    <xf numFmtId="1" fontId="0" fillId="33" borderId="13" xfId="0" applyFont="1" applyFill="1" applyBorder="1" applyAlignment="1">
      <alignment/>
    </xf>
    <xf numFmtId="166" fontId="9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/>
    </xf>
    <xf numFmtId="167" fontId="2" fillId="33" borderId="14" xfId="0" applyNumberFormat="1" applyFont="1" applyFill="1" applyBorder="1" applyAlignment="1">
      <alignment horizontal="right"/>
    </xf>
    <xf numFmtId="167" fontId="2" fillId="33" borderId="46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167" fontId="0" fillId="33" borderId="11" xfId="0" applyNumberFormat="1" applyFont="1" applyFill="1" applyBorder="1" applyAlignment="1">
      <alignment horizontal="right"/>
    </xf>
    <xf numFmtId="166" fontId="0" fillId="33" borderId="15" xfId="0" applyNumberFormat="1" applyFont="1" applyFill="1" applyBorder="1" applyAlignment="1">
      <alignment horizontal="right"/>
    </xf>
    <xf numFmtId="166" fontId="2" fillId="33" borderId="13" xfId="0" applyNumberFormat="1" applyFont="1" applyFill="1" applyBorder="1" applyAlignment="1">
      <alignment horizontal="right"/>
    </xf>
    <xf numFmtId="1" fontId="0" fillId="33" borderId="10" xfId="0" applyFont="1" applyFill="1" applyBorder="1" applyAlignment="1">
      <alignment horizontal="right"/>
    </xf>
    <xf numFmtId="166" fontId="2" fillId="33" borderId="11" xfId="0" applyNumberFormat="1" applyFont="1" applyFill="1" applyBorder="1" applyAlignment="1">
      <alignment horizontal="right"/>
    </xf>
    <xf numFmtId="166" fontId="2" fillId="33" borderId="22" xfId="0" applyNumberFormat="1" applyFont="1" applyFill="1" applyBorder="1" applyAlignment="1">
      <alignment horizontal="right"/>
    </xf>
    <xf numFmtId="167" fontId="8" fillId="33" borderId="14" xfId="0" applyNumberFormat="1" applyFont="1" applyFill="1" applyBorder="1" applyAlignment="1">
      <alignment horizontal="right"/>
    </xf>
    <xf numFmtId="167" fontId="10" fillId="0" borderId="12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67" fontId="10" fillId="0" borderId="35" xfId="0" applyNumberFormat="1" applyFont="1" applyBorder="1" applyAlignment="1">
      <alignment horizontal="right"/>
    </xf>
    <xf numFmtId="167" fontId="0" fillId="0" borderId="33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7" fontId="62" fillId="0" borderId="14" xfId="0" applyNumberFormat="1" applyFont="1" applyFill="1" applyBorder="1" applyAlignment="1">
      <alignment horizontal="right"/>
    </xf>
    <xf numFmtId="49" fontId="2" fillId="0" borderId="46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167" fontId="10" fillId="0" borderId="15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67" fontId="10" fillId="0" borderId="41" xfId="0" applyNumberFormat="1" applyFont="1" applyBorder="1" applyAlignment="1">
      <alignment horizontal="right"/>
    </xf>
    <xf numFmtId="167" fontId="10" fillId="0" borderId="21" xfId="0" applyNumberFormat="1" applyFont="1" applyBorder="1" applyAlignment="1">
      <alignment horizontal="right"/>
    </xf>
    <xf numFmtId="167" fontId="10" fillId="0" borderId="48" xfId="0" applyNumberFormat="1" applyFont="1" applyBorder="1" applyAlignment="1">
      <alignment horizontal="right"/>
    </xf>
    <xf numFmtId="167" fontId="10" fillId="0" borderId="39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1" fontId="2" fillId="0" borderId="24" xfId="0" applyFont="1" applyBorder="1" applyAlignment="1">
      <alignment/>
    </xf>
    <xf numFmtId="1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167" fontId="10" fillId="0" borderId="49" xfId="0" applyNumberFormat="1" applyFont="1" applyBorder="1" applyAlignment="1">
      <alignment horizontal="right"/>
    </xf>
    <xf numFmtId="1" fontId="10" fillId="0" borderId="24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right"/>
    </xf>
    <xf numFmtId="1" fontId="2" fillId="0" borderId="24" xfId="0" applyFont="1" applyBorder="1" applyAlignment="1">
      <alignment horizontal="center"/>
    </xf>
    <xf numFmtId="1" fontId="2" fillId="0" borderId="23" xfId="0" applyFont="1" applyBorder="1" applyAlignment="1">
      <alignment horizontal="center"/>
    </xf>
    <xf numFmtId="1" fontId="2" fillId="0" borderId="30" xfId="0" applyFont="1" applyBorder="1" applyAlignment="1">
      <alignment horizontal="center"/>
    </xf>
    <xf numFmtId="167" fontId="2" fillId="0" borderId="50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69" fontId="2" fillId="0" borderId="24" xfId="0" applyNumberFormat="1" applyFont="1" applyFill="1" applyBorder="1" applyAlignment="1">
      <alignment/>
    </xf>
    <xf numFmtId="167" fontId="2" fillId="0" borderId="24" xfId="0" applyNumberFormat="1" applyFont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67" fontId="2" fillId="33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10" fillId="0" borderId="48" xfId="0" applyFont="1" applyBorder="1" applyAlignment="1">
      <alignment/>
    </xf>
    <xf numFmtId="167" fontId="10" fillId="0" borderId="48" xfId="0" applyNumberFormat="1" applyFont="1" applyBorder="1" applyAlignment="1">
      <alignment/>
    </xf>
    <xf numFmtId="1" fontId="10" fillId="0" borderId="48" xfId="0" applyNumberFormat="1" applyFont="1" applyBorder="1" applyAlignment="1">
      <alignment/>
    </xf>
    <xf numFmtId="2" fontId="10" fillId="0" borderId="48" xfId="0" applyNumberFormat="1" applyFont="1" applyBorder="1" applyAlignment="1">
      <alignment horizontal="right"/>
    </xf>
    <xf numFmtId="2" fontId="10" fillId="0" borderId="48" xfId="0" applyNumberFormat="1" applyFont="1" applyBorder="1" applyAlignment="1">
      <alignment/>
    </xf>
    <xf numFmtId="1" fontId="0" fillId="0" borderId="15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36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47" xfId="0" applyNumberFormat="1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2" fillId="33" borderId="14" xfId="0" applyNumberFormat="1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33" borderId="22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52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42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5" fontId="0" fillId="0" borderId="53" xfId="0" applyNumberFormat="1" applyFont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7" fontId="10" fillId="0" borderId="16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167" fontId="10" fillId="0" borderId="54" xfId="0" applyNumberFormat="1" applyFont="1" applyBorder="1" applyAlignment="1">
      <alignment horizontal="right"/>
    </xf>
    <xf numFmtId="167" fontId="10" fillId="0" borderId="24" xfId="0" applyNumberFormat="1" applyFont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0" fillId="0" borderId="22" xfId="0" applyFont="1" applyFill="1" applyBorder="1" applyAlignment="1">
      <alignment horizontal="right"/>
    </xf>
    <xf numFmtId="1" fontId="0" fillId="33" borderId="22" xfId="0" applyFont="1" applyFill="1" applyBorder="1" applyAlignment="1">
      <alignment horizontal="right"/>
    </xf>
    <xf numFmtId="1" fontId="10" fillId="0" borderId="49" xfId="0" applyFont="1" applyBorder="1" applyAlignment="1">
      <alignment/>
    </xf>
    <xf numFmtId="2" fontId="10" fillId="0" borderId="49" xfId="0" applyNumberFormat="1" applyFont="1" applyBorder="1" applyAlignment="1">
      <alignment horizontal="right"/>
    </xf>
    <xf numFmtId="2" fontId="10" fillId="0" borderId="49" xfId="0" applyNumberFormat="1" applyFont="1" applyBorder="1" applyAlignment="1">
      <alignment/>
    </xf>
    <xf numFmtId="167" fontId="10" fillId="0" borderId="54" xfId="0" applyNumberFormat="1" applyFont="1" applyBorder="1" applyAlignment="1">
      <alignment/>
    </xf>
    <xf numFmtId="2" fontId="10" fillId="0" borderId="54" xfId="0" applyNumberFormat="1" applyFont="1" applyBorder="1" applyAlignment="1">
      <alignment horizontal="right"/>
    </xf>
    <xf numFmtId="2" fontId="10" fillId="0" borderId="54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" fontId="0" fillId="0" borderId="0" xfId="0" applyFont="1" applyBorder="1" applyAlignment="1">
      <alignment/>
    </xf>
    <xf numFmtId="167" fontId="0" fillId="0" borderId="0" xfId="0" applyNumberFormat="1" applyFont="1" applyAlignment="1">
      <alignment horizontal="left"/>
    </xf>
    <xf numFmtId="1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" fontId="0" fillId="0" borderId="10" xfId="0" applyFont="1" applyFill="1" applyBorder="1" applyAlignment="1">
      <alignment/>
    </xf>
    <xf numFmtId="2" fontId="10" fillId="0" borderId="13" xfId="0" applyNumberFormat="1" applyFont="1" applyFill="1" applyBorder="1" applyAlignment="1">
      <alignment horizontal="right"/>
    </xf>
    <xf numFmtId="49" fontId="53" fillId="0" borderId="0" xfId="53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49" fontId="0" fillId="0" borderId="55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6" fontId="0" fillId="0" borderId="45" xfId="0" applyNumberFormat="1" applyFont="1" applyBorder="1" applyAlignment="1">
      <alignment/>
    </xf>
    <xf numFmtId="1" fontId="0" fillId="0" borderId="45" xfId="0" applyFont="1" applyBorder="1" applyAlignment="1">
      <alignment/>
    </xf>
    <xf numFmtId="1" fontId="11" fillId="0" borderId="45" xfId="0" applyFont="1" applyBorder="1" applyAlignment="1">
      <alignment/>
    </xf>
    <xf numFmtId="1" fontId="0" fillId="0" borderId="56" xfId="0" applyFont="1" applyBorder="1" applyAlignment="1">
      <alignment/>
    </xf>
    <xf numFmtId="170" fontId="0" fillId="0" borderId="28" xfId="0" applyNumberFormat="1" applyFont="1" applyBorder="1" applyAlignment="1">
      <alignment horizontal="left"/>
    </xf>
    <xf numFmtId="167" fontId="0" fillId="0" borderId="23" xfId="0" applyNumberFormat="1" applyFont="1" applyBorder="1" applyAlignment="1">
      <alignment/>
    </xf>
    <xf numFmtId="167" fontId="2" fillId="0" borderId="23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" fontId="0" fillId="0" borderId="23" xfId="0" applyFont="1" applyBorder="1" applyAlignment="1">
      <alignment/>
    </xf>
    <xf numFmtId="169" fontId="0" fillId="0" borderId="23" xfId="0" applyNumberFormat="1" applyFont="1" applyFill="1" applyBorder="1" applyAlignment="1">
      <alignment/>
    </xf>
    <xf numFmtId="167" fontId="2" fillId="0" borderId="55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67" fontId="2" fillId="0" borderId="2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" fontId="2" fillId="0" borderId="0" xfId="0" applyFont="1" applyBorder="1" applyAlignment="1">
      <alignment horizontal="center"/>
    </xf>
    <xf numFmtId="175" fontId="0" fillId="0" borderId="41" xfId="0" applyNumberFormat="1" applyFont="1" applyBorder="1" applyAlignment="1">
      <alignment/>
    </xf>
    <xf numFmtId="167" fontId="2" fillId="0" borderId="28" xfId="0" applyNumberFormat="1" applyFont="1" applyBorder="1" applyAlignment="1">
      <alignment/>
    </xf>
    <xf numFmtId="167" fontId="10" fillId="33" borderId="13" xfId="0" applyNumberFormat="1" applyFont="1" applyFill="1" applyBorder="1" applyAlignment="1">
      <alignment horizontal="right"/>
    </xf>
    <xf numFmtId="1" fontId="0" fillId="33" borderId="13" xfId="0" applyFont="1" applyFill="1" applyBorder="1" applyAlignment="1">
      <alignment horizontal="right"/>
    </xf>
    <xf numFmtId="167" fontId="9" fillId="33" borderId="11" xfId="0" applyNumberFormat="1" applyFont="1" applyFill="1" applyBorder="1" applyAlignment="1">
      <alignment horizontal="right"/>
    </xf>
    <xf numFmtId="167" fontId="2" fillId="33" borderId="24" xfId="0" applyNumberFormat="1" applyFont="1" applyFill="1" applyBorder="1" applyAlignment="1">
      <alignment horizontal="right"/>
    </xf>
    <xf numFmtId="167" fontId="2" fillId="33" borderId="15" xfId="0" applyNumberFormat="1" applyFont="1" applyFill="1" applyBorder="1" applyAlignment="1">
      <alignment horizontal="right"/>
    </xf>
    <xf numFmtId="49" fontId="5" fillId="0" borderId="55" xfId="0" applyNumberFormat="1" applyFont="1" applyBorder="1" applyAlignment="1">
      <alignment/>
    </xf>
    <xf numFmtId="167" fontId="2" fillId="0" borderId="45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7" fontId="11" fillId="0" borderId="45" xfId="0" applyNumberFormat="1" applyFont="1" applyBorder="1" applyAlignment="1">
      <alignment/>
    </xf>
    <xf numFmtId="15" fontId="5" fillId="0" borderId="28" xfId="0" applyNumberFormat="1" applyFont="1" applyBorder="1" applyAlignment="1">
      <alignment horizontal="left"/>
    </xf>
    <xf numFmtId="164" fontId="0" fillId="0" borderId="23" xfId="0" applyNumberFormat="1" applyFont="1" applyBorder="1" applyAlignment="1">
      <alignment/>
    </xf>
    <xf numFmtId="169" fontId="0" fillId="0" borderId="23" xfId="0" applyNumberFormat="1" applyFont="1" applyFill="1" applyBorder="1" applyAlignment="1">
      <alignment/>
    </xf>
    <xf numFmtId="1" fontId="0" fillId="0" borderId="41" xfId="0" applyFont="1" applyBorder="1" applyAlignment="1">
      <alignment/>
    </xf>
    <xf numFmtId="167" fontId="0" fillId="0" borderId="28" xfId="0" applyNumberFormat="1" applyFont="1" applyBorder="1" applyAlignment="1">
      <alignment/>
    </xf>
    <xf numFmtId="1" fontId="0" fillId="0" borderId="30" xfId="0" applyFont="1" applyBorder="1" applyAlignment="1">
      <alignment/>
    </xf>
    <xf numFmtId="167" fontId="0" fillId="0" borderId="45" xfId="0" applyNumberFormat="1" applyBorder="1" applyAlignment="1">
      <alignment/>
    </xf>
    <xf numFmtId="166" fontId="0" fillId="0" borderId="45" xfId="0" applyNumberFormat="1" applyBorder="1" applyAlignment="1">
      <alignment/>
    </xf>
    <xf numFmtId="1" fontId="0" fillId="0" borderId="45" xfId="0" applyBorder="1" applyAlignment="1">
      <alignment/>
    </xf>
    <xf numFmtId="167" fontId="0" fillId="0" borderId="45" xfId="0" applyNumberFormat="1" applyFill="1" applyBorder="1" applyAlignment="1">
      <alignment/>
    </xf>
    <xf numFmtId="1" fontId="0" fillId="0" borderId="45" xfId="0" applyFont="1" applyBorder="1" applyAlignment="1">
      <alignment horizontal="center" wrapText="1"/>
    </xf>
    <xf numFmtId="167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9" fontId="2" fillId="0" borderId="23" xfId="0" applyNumberFormat="1" applyFont="1" applyFill="1" applyBorder="1" applyAlignment="1">
      <alignment/>
    </xf>
    <xf numFmtId="169" fontId="2" fillId="0" borderId="23" xfId="0" applyNumberFormat="1" applyFont="1" applyFill="1" applyBorder="1" applyAlignment="1">
      <alignment horizontal="center"/>
    </xf>
    <xf numFmtId="1" fontId="0" fillId="0" borderId="23" xfId="0" applyBorder="1" applyAlignment="1">
      <alignment horizontal="center" wrapText="1"/>
    </xf>
    <xf numFmtId="167" fontId="0" fillId="0" borderId="56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41" xfId="0" applyNumberFormat="1" applyBorder="1" applyAlignment="1">
      <alignment/>
    </xf>
    <xf numFmtId="166" fontId="0" fillId="0" borderId="23" xfId="0" applyNumberFormat="1" applyBorder="1" applyAlignment="1">
      <alignment/>
    </xf>
    <xf numFmtId="1" fontId="0" fillId="0" borderId="23" xfId="0" applyBorder="1" applyAlignment="1">
      <alignment/>
    </xf>
    <xf numFmtId="167" fontId="0" fillId="0" borderId="23" xfId="0" applyNumberFormat="1" applyFill="1" applyBorder="1" applyAlignment="1">
      <alignment/>
    </xf>
    <xf numFmtId="167" fontId="0" fillId="0" borderId="30" xfId="0" applyNumberFormat="1" applyBorder="1" applyAlignment="1">
      <alignment/>
    </xf>
    <xf numFmtId="1" fontId="2" fillId="0" borderId="55" xfId="0" applyFont="1" applyBorder="1" applyAlignment="1">
      <alignment/>
    </xf>
    <xf numFmtId="1" fontId="2" fillId="0" borderId="45" xfId="0" applyFont="1" applyBorder="1" applyAlignment="1">
      <alignment/>
    </xf>
    <xf numFmtId="1" fontId="0" fillId="0" borderId="45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1" fontId="2" fillId="0" borderId="53" xfId="0" applyFont="1" applyBorder="1" applyAlignment="1">
      <alignment wrapText="1"/>
    </xf>
    <xf numFmtId="10" fontId="2" fillId="0" borderId="57" xfId="0" applyNumberFormat="1" applyFont="1" applyBorder="1" applyAlignment="1">
      <alignment/>
    </xf>
    <xf numFmtId="1" fontId="2" fillId="0" borderId="30" xfId="0" applyFont="1" applyBorder="1" applyAlignment="1" quotePrefix="1">
      <alignment horizontal="center" wrapText="1"/>
    </xf>
    <xf numFmtId="1" fontId="0" fillId="0" borderId="23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10" fontId="2" fillId="33" borderId="0" xfId="0" applyNumberFormat="1" applyFont="1" applyFill="1" applyBorder="1" applyAlignment="1">
      <alignment/>
    </xf>
    <xf numFmtId="10" fontId="2" fillId="0" borderId="0" xfId="59" applyNumberFormat="1" applyFont="1" applyFill="1" applyBorder="1" applyAlignment="1">
      <alignment/>
    </xf>
    <xf numFmtId="175" fontId="6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1" fontId="0" fillId="0" borderId="0" xfId="0" applyFont="1" applyAlignment="1">
      <alignment horizontal="center" vertical="center" wrapText="1"/>
    </xf>
    <xf numFmtId="175" fontId="0" fillId="0" borderId="0" xfId="0" applyNumberFormat="1" applyFont="1" applyAlignment="1">
      <alignment wrapText="1"/>
    </xf>
    <xf numFmtId="1" fontId="2" fillId="0" borderId="11" xfId="0" applyNumberFormat="1" applyFont="1" applyFill="1" applyBorder="1" applyAlignment="1">
      <alignment/>
    </xf>
    <xf numFmtId="1" fontId="2" fillId="0" borderId="58" xfId="0" applyFont="1" applyBorder="1" applyAlignment="1">
      <alignment wrapText="1"/>
    </xf>
    <xf numFmtId="10" fontId="8" fillId="0" borderId="59" xfId="0" applyNumberFormat="1" applyFont="1" applyBorder="1" applyAlignment="1">
      <alignment/>
    </xf>
    <xf numFmtId="10" fontId="8" fillId="0" borderId="59" xfId="0" applyNumberFormat="1" applyFont="1" applyFill="1" applyBorder="1" applyAlignment="1">
      <alignment/>
    </xf>
    <xf numFmtId="10" fontId="8" fillId="33" borderId="59" xfId="0" applyNumberFormat="1" applyFont="1" applyFill="1" applyBorder="1" applyAlignment="1">
      <alignment/>
    </xf>
    <xf numFmtId="10" fontId="8" fillId="0" borderId="57" xfId="0" applyNumberFormat="1" applyFont="1" applyBorder="1" applyAlignment="1">
      <alignment/>
    </xf>
    <xf numFmtId="10" fontId="8" fillId="0" borderId="57" xfId="0" applyNumberFormat="1" applyFont="1" applyFill="1" applyBorder="1" applyAlignment="1">
      <alignment/>
    </xf>
    <xf numFmtId="10" fontId="8" fillId="33" borderId="57" xfId="0" applyNumberFormat="1" applyFont="1" applyFill="1" applyBorder="1" applyAlignment="1">
      <alignment/>
    </xf>
    <xf numFmtId="175" fontId="63" fillId="0" borderId="25" xfId="0" applyNumberFormat="1" applyFont="1" applyBorder="1" applyAlignment="1">
      <alignment horizontal="center"/>
    </xf>
    <xf numFmtId="1" fontId="2" fillId="0" borderId="0" xfId="0" applyFont="1" applyBorder="1" applyAlignment="1">
      <alignment wrapText="1"/>
    </xf>
    <xf numFmtId="10" fontId="8" fillId="0" borderId="0" xfId="0" applyNumberFormat="1" applyFont="1" applyFill="1" applyBorder="1" applyAlignment="1">
      <alignment/>
    </xf>
    <xf numFmtId="10" fontId="8" fillId="33" borderId="0" xfId="0" applyNumberFormat="1" applyFont="1" applyFill="1" applyBorder="1" applyAlignment="1">
      <alignment/>
    </xf>
    <xf numFmtId="175" fontId="63" fillId="0" borderId="0" xfId="0" applyNumberFormat="1" applyFont="1" applyBorder="1" applyAlignment="1">
      <alignment horizontal="center"/>
    </xf>
    <xf numFmtId="1" fontId="2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" fontId="0" fillId="0" borderId="25" xfId="0" applyFont="1" applyBorder="1" applyAlignment="1">
      <alignment/>
    </xf>
    <xf numFmtId="1" fontId="0" fillId="0" borderId="25" xfId="0" applyFont="1" applyFill="1" applyBorder="1" applyAlignment="1">
      <alignment/>
    </xf>
    <xf numFmtId="10" fontId="8" fillId="0" borderId="60" xfId="0" applyNumberFormat="1" applyFont="1" applyFill="1" applyBorder="1" applyAlignment="1">
      <alignment/>
    </xf>
    <xf numFmtId="10" fontId="8" fillId="0" borderId="61" xfId="0" applyNumberFormat="1" applyFont="1" applyFill="1" applyBorder="1" applyAlignment="1">
      <alignment/>
    </xf>
    <xf numFmtId="10" fontId="2" fillId="0" borderId="59" xfId="0" applyNumberFormat="1" applyFont="1" applyBorder="1" applyAlignment="1">
      <alignment/>
    </xf>
    <xf numFmtId="10" fontId="8" fillId="0" borderId="45" xfId="0" applyNumberFormat="1" applyFont="1" applyBorder="1" applyAlignment="1">
      <alignment/>
    </xf>
    <xf numFmtId="10" fontId="8" fillId="0" borderId="45" xfId="0" applyNumberFormat="1" applyFont="1" applyFill="1" applyBorder="1" applyAlignment="1">
      <alignment/>
    </xf>
    <xf numFmtId="10" fontId="8" fillId="33" borderId="45" xfId="0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66" fontId="2" fillId="0" borderId="25" xfId="0" applyNumberFormat="1" applyFont="1" applyBorder="1" applyAlignment="1">
      <alignment/>
    </xf>
    <xf numFmtId="1" fontId="2" fillId="0" borderId="45" xfId="0" applyFont="1" applyBorder="1" applyAlignment="1">
      <alignment wrapText="1"/>
    </xf>
    <xf numFmtId="1" fontId="0" fillId="0" borderId="45" xfId="0" applyFont="1" applyFill="1" applyBorder="1" applyAlignment="1">
      <alignment/>
    </xf>
    <xf numFmtId="1" fontId="2" fillId="0" borderId="46" xfId="0" applyFont="1" applyBorder="1" applyAlignment="1">
      <alignment horizontal="center" wrapText="1"/>
    </xf>
    <xf numFmtId="1" fontId="58" fillId="0" borderId="0" xfId="60" applyNumberFormat="1" applyAlignment="1">
      <alignment/>
    </xf>
    <xf numFmtId="167" fontId="52" fillId="0" borderId="5" xfId="51" applyNumberFormat="1" applyFont="1" applyAlignment="1">
      <alignment/>
    </xf>
    <xf numFmtId="1" fontId="42" fillId="2" borderId="0" xfId="15" applyNumberFormat="1" applyFont="1" applyAlignment="1">
      <alignment/>
    </xf>
    <xf numFmtId="1" fontId="59" fillId="0" borderId="9" xfId="61" applyNumberFormat="1" applyFont="1" applyAlignment="1">
      <alignment/>
    </xf>
    <xf numFmtId="1" fontId="57" fillId="27" borderId="8" xfId="58" applyNumberFormat="1" applyFont="1" applyAlignment="1">
      <alignment/>
    </xf>
    <xf numFmtId="1" fontId="47" fillId="0" borderId="0" xfId="46" applyNumberFormat="1" applyFont="1" applyAlignment="1">
      <alignment/>
    </xf>
    <xf numFmtId="1" fontId="36" fillId="0" borderId="0" xfId="0" applyFont="1" applyAlignment="1">
      <alignment/>
    </xf>
    <xf numFmtId="1" fontId="36" fillId="0" borderId="0" xfId="0" applyFont="1" applyAlignment="1">
      <alignment horizontal="left" indent="1"/>
    </xf>
    <xf numFmtId="1" fontId="36" fillId="0" borderId="0" xfId="0" applyFont="1" applyAlignment="1">
      <alignment horizontal="left"/>
    </xf>
    <xf numFmtId="1" fontId="59" fillId="0" borderId="9" xfId="61" applyNumberFormat="1" applyFont="1" applyAlignment="1">
      <alignment/>
    </xf>
    <xf numFmtId="1" fontId="59" fillId="0" borderId="9" xfId="61" applyNumberFormat="1" applyFont="1" applyAlignment="1">
      <alignment horizontal="right"/>
    </xf>
    <xf numFmtId="1" fontId="42" fillId="2" borderId="0" xfId="15" applyNumberFormat="1" applyFont="1" applyAlignment="1">
      <alignment horizontal="left"/>
    </xf>
    <xf numFmtId="1" fontId="42" fillId="0" borderId="0" xfId="15" applyNumberFormat="1" applyFont="1" applyFill="1" applyAlignment="1">
      <alignment horizontal="right"/>
    </xf>
    <xf numFmtId="1" fontId="42" fillId="0" borderId="0" xfId="15" applyNumberFormat="1" applyFont="1" applyFill="1" applyAlignment="1">
      <alignment/>
    </xf>
    <xf numFmtId="1" fontId="57" fillId="27" borderId="8" xfId="58" applyNumberFormat="1" applyFont="1" applyAlignment="1">
      <alignment horizontal="right"/>
    </xf>
    <xf numFmtId="1" fontId="47" fillId="0" borderId="0" xfId="46" applyNumberFormat="1" applyFont="1" applyAlignment="1">
      <alignment horizontal="right"/>
    </xf>
    <xf numFmtId="1" fontId="36" fillId="0" borderId="0" xfId="0" applyFont="1" applyAlignment="1">
      <alignment horizontal="right"/>
    </xf>
    <xf numFmtId="167" fontId="52" fillId="0" borderId="5" xfId="51" applyNumberFormat="1" applyFont="1" applyAlignment="1">
      <alignment horizontal="center"/>
    </xf>
    <xf numFmtId="1" fontId="42" fillId="0" borderId="0" xfId="15" applyNumberFormat="1" applyFont="1" applyFill="1" applyAlignment="1">
      <alignment/>
    </xf>
    <xf numFmtId="1" fontId="36" fillId="0" borderId="0" xfId="0" applyFont="1" applyAlignment="1">
      <alignment/>
    </xf>
    <xf numFmtId="1" fontId="42" fillId="0" borderId="0" xfId="15" applyNumberFormat="1" applyFont="1" applyFill="1" applyAlignment="1">
      <alignment horizontal="left" indent="1"/>
    </xf>
    <xf numFmtId="167" fontId="2" fillId="0" borderId="11" xfId="0" applyNumberFormat="1" applyFont="1" applyBorder="1" applyAlignment="1" quotePrefix="1">
      <alignment horizontal="center"/>
    </xf>
    <xf numFmtId="167" fontId="10" fillId="0" borderId="24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7" fontId="9" fillId="0" borderId="10" xfId="0" applyNumberFormat="1" applyFont="1" applyFill="1" applyBorder="1" applyAlignment="1">
      <alignment horizontal="right"/>
    </xf>
    <xf numFmtId="167" fontId="8" fillId="0" borderId="14" xfId="0" applyNumberFormat="1" applyFont="1" applyFill="1" applyBorder="1" applyAlignment="1">
      <alignment horizontal="right"/>
    </xf>
    <xf numFmtId="1" fontId="0" fillId="0" borderId="10" xfId="0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10" fillId="4" borderId="16" xfId="0" applyNumberFormat="1" applyFont="1" applyFill="1" applyBorder="1" applyAlignment="1">
      <alignment/>
    </xf>
    <xf numFmtId="1" fontId="10" fillId="4" borderId="17" xfId="0" applyNumberFormat="1" applyFont="1" applyFill="1" applyBorder="1" applyAlignment="1">
      <alignment/>
    </xf>
    <xf numFmtId="2" fontId="10" fillId="4" borderId="17" xfId="0" applyNumberFormat="1" applyFont="1" applyFill="1" applyBorder="1" applyAlignment="1">
      <alignment/>
    </xf>
    <xf numFmtId="1" fontId="2" fillId="4" borderId="28" xfId="0" applyNumberFormat="1" applyFont="1" applyFill="1" applyBorder="1" applyAlignment="1">
      <alignment horizontal="center"/>
    </xf>
    <xf numFmtId="1" fontId="0" fillId="4" borderId="19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/>
    </xf>
    <xf numFmtId="165" fontId="0" fillId="4" borderId="17" xfId="0" applyNumberFormat="1" applyFont="1" applyFill="1" applyBorder="1" applyAlignment="1">
      <alignment/>
    </xf>
    <xf numFmtId="165" fontId="0" fillId="4" borderId="29" xfId="0" applyNumberFormat="1" applyFont="1" applyFill="1" applyBorder="1" applyAlignment="1">
      <alignment/>
    </xf>
    <xf numFmtId="165" fontId="2" fillId="4" borderId="19" xfId="0" applyNumberFormat="1" applyFont="1" applyFill="1" applyBorder="1" applyAlignment="1">
      <alignment/>
    </xf>
    <xf numFmtId="165" fontId="2" fillId="4" borderId="16" xfId="0" applyNumberFormat="1" applyFont="1" applyFill="1" applyBorder="1" applyAlignment="1">
      <alignment/>
    </xf>
    <xf numFmtId="165" fontId="0" fillId="4" borderId="21" xfId="0" applyNumberFormat="1" applyFont="1" applyFill="1" applyBorder="1" applyAlignment="1">
      <alignment/>
    </xf>
    <xf numFmtId="165" fontId="2" fillId="4" borderId="18" xfId="0" applyNumberFormat="1" applyFont="1" applyFill="1" applyBorder="1" applyAlignment="1">
      <alignment/>
    </xf>
    <xf numFmtId="2" fontId="10" fillId="4" borderId="17" xfId="0" applyNumberFormat="1" applyFont="1" applyFill="1" applyBorder="1" applyAlignment="1">
      <alignment horizontal="right"/>
    </xf>
    <xf numFmtId="1" fontId="10" fillId="4" borderId="29" xfId="0" applyNumberFormat="1" applyFont="1" applyFill="1" applyBorder="1" applyAlignment="1">
      <alignment/>
    </xf>
    <xf numFmtId="1" fontId="2" fillId="4" borderId="29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10" borderId="24" xfId="0" applyNumberFormat="1" applyFont="1" applyFill="1" applyBorder="1" applyAlignment="1" quotePrefix="1">
      <alignment horizontal="center"/>
    </xf>
    <xf numFmtId="167" fontId="10" fillId="4" borderId="2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167" fontId="10" fillId="4" borderId="10" xfId="0" applyNumberFormat="1" applyFont="1" applyFill="1" applyBorder="1" applyAlignment="1">
      <alignment horizontal="right"/>
    </xf>
    <xf numFmtId="167" fontId="10" fillId="4" borderId="24" xfId="0" applyNumberFormat="1" applyFont="1" applyFill="1" applyBorder="1" applyAlignment="1">
      <alignment horizontal="right"/>
    </xf>
    <xf numFmtId="167" fontId="2" fillId="4" borderId="14" xfId="0" applyNumberFormat="1" applyFont="1" applyFill="1" applyBorder="1" applyAlignment="1">
      <alignment horizontal="center"/>
    </xf>
    <xf numFmtId="167" fontId="0" fillId="4" borderId="24" xfId="0" applyNumberFormat="1" applyFont="1" applyFill="1" applyBorder="1" applyAlignment="1">
      <alignment horizontal="center"/>
    </xf>
    <xf numFmtId="1" fontId="0" fillId="4" borderId="13" xfId="0" applyFont="1" applyFill="1" applyBorder="1" applyAlignment="1">
      <alignment/>
    </xf>
    <xf numFmtId="166" fontId="9" fillId="4" borderId="10" xfId="0" applyNumberFormat="1" applyFont="1" applyFill="1" applyBorder="1" applyAlignment="1">
      <alignment horizontal="right"/>
    </xf>
    <xf numFmtId="166" fontId="0" fillId="4" borderId="10" xfId="0" applyNumberFormat="1" applyFont="1" applyFill="1" applyBorder="1" applyAlignment="1">
      <alignment horizontal="right"/>
    </xf>
    <xf numFmtId="1" fontId="0" fillId="4" borderId="11" xfId="0" applyNumberFormat="1" applyFont="1" applyFill="1" applyBorder="1" applyAlignment="1">
      <alignment horizontal="right"/>
    </xf>
    <xf numFmtId="167" fontId="2" fillId="4" borderId="14" xfId="0" applyNumberFormat="1" applyFont="1" applyFill="1" applyBorder="1" applyAlignment="1">
      <alignment horizontal="right"/>
    </xf>
    <xf numFmtId="167" fontId="2" fillId="4" borderId="46" xfId="0" applyNumberFormat="1" applyFont="1" applyFill="1" applyBorder="1" applyAlignment="1">
      <alignment horizontal="right"/>
    </xf>
    <xf numFmtId="167" fontId="2" fillId="4" borderId="10" xfId="0" applyNumberFormat="1" applyFont="1" applyFill="1" applyBorder="1" applyAlignment="1">
      <alignment horizontal="right"/>
    </xf>
    <xf numFmtId="167" fontId="0" fillId="4" borderId="10" xfId="0" applyNumberFormat="1" applyFont="1" applyFill="1" applyBorder="1" applyAlignment="1">
      <alignment horizontal="right"/>
    </xf>
    <xf numFmtId="167" fontId="0" fillId="4" borderId="11" xfId="0" applyNumberFormat="1" applyFont="1" applyFill="1" applyBorder="1" applyAlignment="1">
      <alignment horizontal="right"/>
    </xf>
    <xf numFmtId="166" fontId="0" fillId="4" borderId="15" xfId="0" applyNumberFormat="1" applyFont="1" applyFill="1" applyBorder="1" applyAlignment="1">
      <alignment horizontal="right"/>
    </xf>
    <xf numFmtId="166" fontId="2" fillId="4" borderId="13" xfId="0" applyNumberFormat="1" applyFont="1" applyFill="1" applyBorder="1" applyAlignment="1">
      <alignment horizontal="right"/>
    </xf>
    <xf numFmtId="1" fontId="0" fillId="4" borderId="10" xfId="0" applyFont="1" applyFill="1" applyBorder="1" applyAlignment="1">
      <alignment horizontal="right"/>
    </xf>
    <xf numFmtId="194" fontId="2" fillId="4" borderId="11" xfId="0" applyNumberFormat="1" applyFont="1" applyFill="1" applyBorder="1" applyAlignment="1">
      <alignment horizontal="right"/>
    </xf>
    <xf numFmtId="10" fontId="8" fillId="4" borderId="59" xfId="0" applyNumberFormat="1" applyFont="1" applyFill="1" applyBorder="1" applyAlignment="1">
      <alignment/>
    </xf>
    <xf numFmtId="10" fontId="8" fillId="4" borderId="57" xfId="0" applyNumberFormat="1" applyFont="1" applyFill="1" applyBorder="1" applyAlignment="1">
      <alignment/>
    </xf>
    <xf numFmtId="49" fontId="2" fillId="10" borderId="62" xfId="0" applyNumberFormat="1" applyFont="1" applyFill="1" applyBorder="1" applyAlignment="1">
      <alignment horizontal="center"/>
    </xf>
    <xf numFmtId="1" fontId="10" fillId="4" borderId="22" xfId="0" applyNumberFormat="1" applyFont="1" applyFill="1" applyBorder="1" applyAlignment="1">
      <alignment horizontal="right"/>
    </xf>
    <xf numFmtId="167" fontId="0" fillId="4" borderId="24" xfId="0" applyNumberFormat="1" applyFont="1" applyFill="1" applyBorder="1" applyAlignment="1">
      <alignment horizontal="center"/>
    </xf>
    <xf numFmtId="1" fontId="0" fillId="4" borderId="22" xfId="0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166" fontId="0" fillId="4" borderId="10" xfId="0" applyNumberFormat="1" applyFont="1" applyFill="1" applyBorder="1" applyAlignment="1">
      <alignment horizontal="right"/>
    </xf>
    <xf numFmtId="1" fontId="0" fillId="4" borderId="11" xfId="0" applyNumberFormat="1" applyFont="1" applyFill="1" applyBorder="1" applyAlignment="1">
      <alignment horizontal="right"/>
    </xf>
    <xf numFmtId="166" fontId="2" fillId="4" borderId="22" xfId="0" applyNumberFormat="1" applyFont="1" applyFill="1" applyBorder="1" applyAlignment="1">
      <alignment horizontal="right"/>
    </xf>
    <xf numFmtId="167" fontId="0" fillId="4" borderId="10" xfId="0" applyNumberFormat="1" applyFont="1" applyFill="1" applyBorder="1" applyAlignment="1">
      <alignment horizontal="right"/>
    </xf>
    <xf numFmtId="167" fontId="9" fillId="4" borderId="10" xfId="0" applyNumberFormat="1" applyFont="1" applyFill="1" applyBorder="1" applyAlignment="1">
      <alignment horizontal="right"/>
    </xf>
    <xf numFmtId="167" fontId="0" fillId="4" borderId="11" xfId="0" applyNumberFormat="1" applyFont="1" applyFill="1" applyBorder="1" applyAlignment="1">
      <alignment horizontal="right"/>
    </xf>
    <xf numFmtId="166" fontId="0" fillId="4" borderId="15" xfId="0" applyNumberFormat="1" applyFont="1" applyFill="1" applyBorder="1" applyAlignment="1">
      <alignment horizontal="right"/>
    </xf>
    <xf numFmtId="167" fontId="8" fillId="4" borderId="14" xfId="0" applyNumberFormat="1" applyFont="1" applyFill="1" applyBorder="1" applyAlignment="1">
      <alignment horizontal="right"/>
    </xf>
    <xf numFmtId="1" fontId="0" fillId="4" borderId="10" xfId="0" applyFont="1" applyFill="1" applyBorder="1" applyAlignment="1">
      <alignment horizontal="right"/>
    </xf>
    <xf numFmtId="1" fontId="2" fillId="4" borderId="11" xfId="0" applyNumberFormat="1" applyFont="1" applyFill="1" applyBorder="1" applyAlignment="1">
      <alignment horizontal="right"/>
    </xf>
    <xf numFmtId="1" fontId="2" fillId="10" borderId="14" xfId="0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right"/>
    </xf>
    <xf numFmtId="2" fontId="10" fillId="0" borderId="26" xfId="0" applyNumberFormat="1" applyFont="1" applyFill="1" applyBorder="1" applyAlignment="1">
      <alignment horizontal="right"/>
    </xf>
    <xf numFmtId="167" fontId="10" fillId="0" borderId="3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167" fontId="2" fillId="0" borderId="31" xfId="0" applyNumberFormat="1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 horizontal="right"/>
    </xf>
    <xf numFmtId="167" fontId="0" fillId="0" borderId="10" xfId="0" applyNumberFormat="1" applyFill="1" applyBorder="1" applyAlignment="1">
      <alignment horizontal="right"/>
    </xf>
    <xf numFmtId="167" fontId="10" fillId="4" borderId="63" xfId="0" applyNumberFormat="1" applyFont="1" applyFill="1" applyBorder="1" applyAlignment="1">
      <alignment horizontal="right"/>
    </xf>
    <xf numFmtId="201" fontId="10" fillId="4" borderId="48" xfId="0" applyNumberFormat="1" applyFont="1" applyFill="1" applyBorder="1" applyAlignment="1">
      <alignment horizontal="right"/>
    </xf>
    <xf numFmtId="167" fontId="10" fillId="4" borderId="48" xfId="0" applyNumberFormat="1" applyFont="1" applyFill="1" applyBorder="1" applyAlignment="1">
      <alignment horizontal="right"/>
    </xf>
    <xf numFmtId="3" fontId="10" fillId="4" borderId="64" xfId="0" applyNumberFormat="1" applyFont="1" applyFill="1" applyBorder="1" applyAlignment="1">
      <alignment horizontal="right"/>
    </xf>
    <xf numFmtId="167" fontId="0" fillId="4" borderId="14" xfId="0" applyNumberFormat="1" applyFont="1" applyFill="1" applyBorder="1" applyAlignment="1">
      <alignment horizontal="center"/>
    </xf>
    <xf numFmtId="1" fontId="0" fillId="4" borderId="63" xfId="0" applyFont="1" applyFill="1" applyBorder="1" applyAlignment="1">
      <alignment horizontal="right"/>
    </xf>
    <xf numFmtId="166" fontId="9" fillId="4" borderId="48" xfId="0" applyNumberFormat="1" applyFont="1" applyFill="1" applyBorder="1" applyAlignment="1">
      <alignment horizontal="right"/>
    </xf>
    <xf numFmtId="166" fontId="9" fillId="4" borderId="64" xfId="0" applyNumberFormat="1" applyFont="1" applyFill="1" applyBorder="1" applyAlignment="1">
      <alignment horizontal="right"/>
    </xf>
    <xf numFmtId="167" fontId="2" fillId="4" borderId="65" xfId="0" applyNumberFormat="1" applyFont="1" applyFill="1" applyBorder="1" applyAlignment="1">
      <alignment horizontal="right"/>
    </xf>
    <xf numFmtId="167" fontId="2" fillId="4" borderId="63" xfId="0" applyNumberFormat="1" applyFont="1" applyFill="1" applyBorder="1" applyAlignment="1">
      <alignment horizontal="right"/>
    </xf>
    <xf numFmtId="166" fontId="0" fillId="4" borderId="48" xfId="0" applyNumberFormat="1" applyFont="1" applyFill="1" applyBorder="1" applyAlignment="1">
      <alignment horizontal="right"/>
    </xf>
    <xf numFmtId="167" fontId="2" fillId="4" borderId="48" xfId="0" applyNumberFormat="1" applyFont="1" applyFill="1" applyBorder="1" applyAlignment="1">
      <alignment horizontal="right"/>
    </xf>
    <xf numFmtId="167" fontId="0" fillId="4" borderId="48" xfId="0" applyNumberFormat="1" applyFill="1" applyBorder="1" applyAlignment="1">
      <alignment horizontal="right"/>
    </xf>
    <xf numFmtId="166" fontId="0" fillId="4" borderId="65" xfId="0" applyNumberFormat="1" applyFont="1" applyFill="1" applyBorder="1" applyAlignment="1">
      <alignment horizontal="right"/>
    </xf>
    <xf numFmtId="166" fontId="2" fillId="4" borderId="63" xfId="0" applyNumberFormat="1" applyFont="1" applyFill="1" applyBorder="1" applyAlignment="1">
      <alignment horizontal="right"/>
    </xf>
    <xf numFmtId="1" fontId="0" fillId="4" borderId="48" xfId="0" applyFont="1" applyFill="1" applyBorder="1" applyAlignment="1">
      <alignment horizontal="right"/>
    </xf>
    <xf numFmtId="1" fontId="2" fillId="4" borderId="64" xfId="0" applyNumberFormat="1" applyFont="1" applyFill="1" applyBorder="1" applyAlignment="1">
      <alignment horizontal="right"/>
    </xf>
    <xf numFmtId="10" fontId="8" fillId="4" borderId="22" xfId="0" applyNumberFormat="1" applyFont="1" applyFill="1" applyBorder="1" applyAlignment="1">
      <alignment/>
    </xf>
    <xf numFmtId="10" fontId="8" fillId="4" borderId="11" xfId="0" applyNumberFormat="1" applyFont="1" applyFill="1" applyBorder="1" applyAlignment="1">
      <alignment/>
    </xf>
    <xf numFmtId="175" fontId="64" fillId="10" borderId="14" xfId="0" applyNumberFormat="1" applyFont="1" applyFill="1" applyBorder="1" applyAlignment="1">
      <alignment horizontal="center"/>
    </xf>
    <xf numFmtId="175" fontId="64" fillId="4" borderId="15" xfId="0" applyNumberFormat="1" applyFont="1" applyFill="1" applyBorder="1" applyAlignment="1">
      <alignment horizontal="center"/>
    </xf>
    <xf numFmtId="175" fontId="64" fillId="4" borderId="24" xfId="0" applyNumberFormat="1" applyFont="1" applyFill="1" applyBorder="1" applyAlignment="1">
      <alignment horizontal="center"/>
    </xf>
    <xf numFmtId="175" fontId="64" fillId="4" borderId="46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167" fontId="2" fillId="0" borderId="30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1" fontId="2" fillId="0" borderId="15" xfId="0" applyFont="1" applyBorder="1" applyAlignment="1">
      <alignment horizontal="right"/>
    </xf>
    <xf numFmtId="1" fontId="2" fillId="0" borderId="15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45" xfId="0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167" fontId="2" fillId="0" borderId="23" xfId="0" applyNumberFormat="1" applyFont="1" applyBorder="1" applyAlignment="1" quotePrefix="1">
      <alignment horizontal="center"/>
    </xf>
    <xf numFmtId="166" fontId="2" fillId="0" borderId="45" xfId="0" applyNumberFormat="1" applyFont="1" applyFill="1" applyBorder="1" applyAlignment="1">
      <alignment/>
    </xf>
    <xf numFmtId="166" fontId="2" fillId="33" borderId="45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10" fontId="2" fillId="0" borderId="62" xfId="0" applyNumberFormat="1" applyFont="1" applyBorder="1" applyAlignment="1">
      <alignment/>
    </xf>
    <xf numFmtId="10" fontId="2" fillId="33" borderId="62" xfId="0" applyNumberFormat="1" applyFont="1" applyFill="1" applyBorder="1" applyAlignment="1">
      <alignment/>
    </xf>
    <xf numFmtId="10" fontId="2" fillId="0" borderId="62" xfId="59" applyNumberFormat="1" applyFont="1" applyFill="1" applyBorder="1" applyAlignment="1">
      <alignment/>
    </xf>
    <xf numFmtId="10" fontId="2" fillId="0" borderId="48" xfId="0" applyNumberFormat="1" applyFont="1" applyBorder="1" applyAlignment="1">
      <alignment/>
    </xf>
    <xf numFmtId="10" fontId="2" fillId="4" borderId="48" xfId="0" applyNumberFormat="1" applyFont="1" applyFill="1" applyBorder="1" applyAlignment="1">
      <alignment/>
    </xf>
    <xf numFmtId="10" fontId="2" fillId="4" borderId="48" xfId="59" applyNumberFormat="1" applyFont="1" applyFill="1" applyBorder="1" applyAlignment="1">
      <alignment/>
    </xf>
    <xf numFmtId="167" fontId="0" fillId="0" borderId="0" xfId="0" applyNumberFormat="1" applyFont="1" applyAlignment="1">
      <alignment horizontal="left" wrapText="1"/>
    </xf>
    <xf numFmtId="175" fontId="64" fillId="10" borderId="24" xfId="0" applyNumberFormat="1" applyFont="1" applyFill="1" applyBorder="1" applyAlignment="1">
      <alignment horizontal="center"/>
    </xf>
    <xf numFmtId="1" fontId="0" fillId="33" borderId="45" xfId="0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1" fontId="2" fillId="10" borderId="19" xfId="0" applyFont="1" applyFill="1" applyBorder="1" applyAlignment="1">
      <alignment horizontal="center"/>
    </xf>
    <xf numFmtId="49" fontId="2" fillId="10" borderId="50" xfId="0" applyNumberFormat="1" applyFont="1" applyFill="1" applyBorder="1" applyAlignment="1">
      <alignment horizontal="center"/>
    </xf>
    <xf numFmtId="1" fontId="0" fillId="33" borderId="31" xfId="0" applyFill="1" applyBorder="1" applyAlignment="1">
      <alignment horizontal="center"/>
    </xf>
    <xf numFmtId="49" fontId="2" fillId="33" borderId="62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right"/>
    </xf>
    <xf numFmtId="167" fontId="10" fillId="33" borderId="24" xfId="0" applyNumberFormat="1" applyFont="1" applyFill="1" applyBorder="1" applyAlignment="1">
      <alignment horizontal="right"/>
    </xf>
    <xf numFmtId="167" fontId="0" fillId="33" borderId="24" xfId="0" applyNumberFormat="1" applyFont="1" applyFill="1" applyBorder="1" applyAlignment="1">
      <alignment horizontal="center"/>
    </xf>
    <xf numFmtId="1" fontId="0" fillId="33" borderId="13" xfId="0" applyFont="1" applyFill="1" applyBorder="1" applyAlignment="1">
      <alignment/>
    </xf>
    <xf numFmtId="166" fontId="0" fillId="33" borderId="10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167" fontId="0" fillId="33" borderId="11" xfId="0" applyNumberFormat="1" applyFont="1" applyFill="1" applyBorder="1" applyAlignment="1">
      <alignment horizontal="right"/>
    </xf>
    <xf numFmtId="166" fontId="0" fillId="33" borderId="15" xfId="0" applyNumberFormat="1" applyFont="1" applyFill="1" applyBorder="1" applyAlignment="1">
      <alignment horizontal="right"/>
    </xf>
    <xf numFmtId="1" fontId="0" fillId="33" borderId="10" xfId="0" applyFont="1" applyFill="1" applyBorder="1" applyAlignment="1">
      <alignment horizontal="right"/>
    </xf>
    <xf numFmtId="194" fontId="2" fillId="33" borderId="11" xfId="0" applyNumberFormat="1" applyFont="1" applyFill="1" applyBorder="1" applyAlignment="1">
      <alignment horizontal="right"/>
    </xf>
    <xf numFmtId="1" fontId="10" fillId="33" borderId="22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7" fontId="9" fillId="33" borderId="10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right"/>
    </xf>
    <xf numFmtId="167" fontId="10" fillId="33" borderId="27" xfId="0" applyNumberFormat="1" applyFont="1" applyFill="1" applyBorder="1" applyAlignment="1">
      <alignment horizontal="right"/>
    </xf>
    <xf numFmtId="2" fontId="10" fillId="33" borderId="27" xfId="0" applyNumberFormat="1" applyFont="1" applyFill="1" applyBorder="1" applyAlignment="1">
      <alignment horizontal="right"/>
    </xf>
    <xf numFmtId="167" fontId="10" fillId="33" borderId="32" xfId="0" applyNumberFormat="1" applyFont="1" applyFill="1" applyBorder="1" applyAlignment="1">
      <alignment horizontal="right"/>
    </xf>
    <xf numFmtId="3" fontId="10" fillId="33" borderId="29" xfId="0" applyNumberFormat="1" applyFont="1" applyFill="1" applyBorder="1" applyAlignment="1">
      <alignment horizontal="right"/>
    </xf>
    <xf numFmtId="167" fontId="2" fillId="33" borderId="19" xfId="0" applyNumberFormat="1" applyFont="1" applyFill="1" applyBorder="1" applyAlignment="1">
      <alignment horizontal="center"/>
    </xf>
    <xf numFmtId="167" fontId="0" fillId="33" borderId="28" xfId="0" applyNumberFormat="1" applyFont="1" applyFill="1" applyBorder="1" applyAlignment="1">
      <alignment horizontal="center"/>
    </xf>
    <xf numFmtId="1" fontId="0" fillId="33" borderId="16" xfId="0" applyFont="1" applyFill="1" applyBorder="1" applyAlignment="1">
      <alignment horizontal="right"/>
    </xf>
    <xf numFmtId="166" fontId="9" fillId="33" borderId="32" xfId="0" applyNumberFormat="1" applyFont="1" applyFill="1" applyBorder="1" applyAlignment="1">
      <alignment horizontal="right"/>
    </xf>
    <xf numFmtId="166" fontId="0" fillId="33" borderId="32" xfId="0" applyNumberFormat="1" applyFont="1" applyFill="1" applyBorder="1" applyAlignment="1">
      <alignment horizontal="right"/>
    </xf>
    <xf numFmtId="167" fontId="2" fillId="33" borderId="19" xfId="0" applyNumberFormat="1" applyFont="1" applyFill="1" applyBorder="1" applyAlignment="1">
      <alignment horizontal="right"/>
    </xf>
    <xf numFmtId="167" fontId="2" fillId="33" borderId="0" xfId="0" applyNumberFormat="1" applyFont="1" applyFill="1" applyBorder="1" applyAlignment="1">
      <alignment horizontal="right"/>
    </xf>
    <xf numFmtId="166" fontId="0" fillId="33" borderId="32" xfId="0" applyNumberFormat="1" applyFont="1" applyFill="1" applyBorder="1" applyAlignment="1">
      <alignment horizontal="right"/>
    </xf>
    <xf numFmtId="167" fontId="2" fillId="33" borderId="32" xfId="0" applyNumberFormat="1" applyFont="1" applyFill="1" applyBorder="1" applyAlignment="1">
      <alignment horizontal="right"/>
    </xf>
    <xf numFmtId="167" fontId="0" fillId="33" borderId="17" xfId="0" applyNumberFormat="1" applyFill="1" applyBorder="1" applyAlignment="1">
      <alignment horizontal="right"/>
    </xf>
    <xf numFmtId="167" fontId="2" fillId="33" borderId="45" xfId="0" applyNumberFormat="1" applyFont="1" applyFill="1" applyBorder="1" applyAlignment="1">
      <alignment horizontal="right"/>
    </xf>
    <xf numFmtId="166" fontId="0" fillId="33" borderId="19" xfId="0" applyNumberFormat="1" applyFont="1" applyFill="1" applyBorder="1" applyAlignment="1">
      <alignment horizontal="right"/>
    </xf>
    <xf numFmtId="167" fontId="2" fillId="33" borderId="23" xfId="0" applyNumberFormat="1" applyFont="1" applyFill="1" applyBorder="1" applyAlignment="1">
      <alignment horizontal="right"/>
    </xf>
    <xf numFmtId="166" fontId="2" fillId="33" borderId="43" xfId="0" applyNumberFormat="1" applyFont="1" applyFill="1" applyBorder="1" applyAlignment="1">
      <alignment horizontal="right"/>
    </xf>
    <xf numFmtId="1" fontId="0" fillId="33" borderId="32" xfId="0" applyFont="1" applyFill="1" applyBorder="1" applyAlignment="1">
      <alignment horizontal="right"/>
    </xf>
    <xf numFmtId="1" fontId="2" fillId="33" borderId="42" xfId="0" applyNumberFormat="1" applyFont="1" applyFill="1" applyBorder="1" applyAlignment="1">
      <alignment horizontal="right"/>
    </xf>
    <xf numFmtId="1" fontId="0" fillId="33" borderId="25" xfId="0" applyFont="1" applyFill="1" applyBorder="1" applyAlignment="1">
      <alignment/>
    </xf>
    <xf numFmtId="10" fontId="8" fillId="33" borderId="43" xfId="0" applyNumberFormat="1" applyFont="1" applyFill="1" applyBorder="1" applyAlignment="1">
      <alignment/>
    </xf>
    <xf numFmtId="10" fontId="8" fillId="33" borderId="42" xfId="0" applyNumberFormat="1" applyFont="1" applyFill="1" applyBorder="1" applyAlignment="1">
      <alignment/>
    </xf>
    <xf numFmtId="0" fontId="53" fillId="0" borderId="0" xfId="53" applyNumberFormat="1" applyAlignment="1">
      <alignment/>
    </xf>
    <xf numFmtId="1" fontId="2" fillId="0" borderId="24" xfId="0" applyNumberFormat="1" applyFont="1" applyFill="1" applyBorder="1" applyAlignment="1" quotePrefix="1">
      <alignment horizontal="center"/>
    </xf>
    <xf numFmtId="1" fontId="2" fillId="0" borderId="28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0" fontId="2" fillId="0" borderId="48" xfId="0" applyNumberFormat="1" applyFont="1" applyFill="1" applyBorder="1" applyAlignment="1">
      <alignment/>
    </xf>
    <xf numFmtId="10" fontId="2" fillId="0" borderId="67" xfId="59" applyNumberFormat="1" applyFont="1" applyFill="1" applyBorder="1" applyAlignment="1">
      <alignment/>
    </xf>
    <xf numFmtId="49" fontId="2" fillId="10" borderId="25" xfId="0" applyNumberFormat="1" applyFont="1" applyFill="1" applyBorder="1" applyAlignment="1">
      <alignment horizontal="center" wrapText="1"/>
    </xf>
    <xf numFmtId="1" fontId="2" fillId="10" borderId="23" xfId="0" applyFont="1" applyFill="1" applyBorder="1" applyAlignment="1" quotePrefix="1">
      <alignment horizontal="center" wrapText="1"/>
    </xf>
    <xf numFmtId="1" fontId="2" fillId="10" borderId="19" xfId="0" applyNumberFormat="1" applyFont="1" applyFill="1" applyBorder="1" applyAlignment="1" quotePrefix="1">
      <alignment horizontal="center"/>
    </xf>
    <xf numFmtId="175" fontId="64" fillId="10" borderId="46" xfId="0" applyNumberFormat="1" applyFont="1" applyFill="1" applyBorder="1" applyAlignment="1">
      <alignment horizontal="center"/>
    </xf>
    <xf numFmtId="0" fontId="65" fillId="4" borderId="15" xfId="0" applyNumberFormat="1" applyFont="1" applyFill="1" applyBorder="1" applyAlignment="1">
      <alignment horizontal="center" vertical="center"/>
    </xf>
    <xf numFmtId="175" fontId="64" fillId="0" borderId="0" xfId="0" applyNumberFormat="1" applyFont="1" applyBorder="1" applyAlignment="1">
      <alignment horizontal="center"/>
    </xf>
    <xf numFmtId="175" fontId="64" fillId="4" borderId="30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 wrapText="1"/>
    </xf>
    <xf numFmtId="1" fontId="2" fillId="10" borderId="14" xfId="0" applyFont="1" applyFill="1" applyBorder="1" applyAlignment="1" quotePrefix="1">
      <alignment horizontal="center" wrapText="1"/>
    </xf>
    <xf numFmtId="10" fontId="2" fillId="4" borderId="54" xfId="0" applyNumberFormat="1" applyFont="1" applyFill="1" applyBorder="1" applyAlignment="1">
      <alignment/>
    </xf>
    <xf numFmtId="10" fontId="2" fillId="4" borderId="54" xfId="59" applyNumberFormat="1" applyFont="1" applyFill="1" applyBorder="1" applyAlignment="1">
      <alignment/>
    </xf>
    <xf numFmtId="175" fontId="64" fillId="4" borderId="56" xfId="0" applyNumberFormat="1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right"/>
    </xf>
    <xf numFmtId="167" fontId="0" fillId="0" borderId="13" xfId="0" applyNumberForma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167" fontId="0" fillId="0" borderId="12" xfId="0" applyNumberFormat="1" applyFill="1" applyBorder="1" applyAlignment="1">
      <alignment horizontal="right"/>
    </xf>
    <xf numFmtId="166" fontId="9" fillId="0" borderId="22" xfId="0" applyNumberFormat="1" applyFont="1" applyFill="1" applyBorder="1" applyAlignment="1">
      <alignment horizontal="right"/>
    </xf>
    <xf numFmtId="10" fontId="8" fillId="0" borderId="22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67" fontId="66" fillId="4" borderId="10" xfId="0" applyNumberFormat="1" applyFont="1" applyFill="1" applyBorder="1" applyAlignment="1">
      <alignment horizontal="right"/>
    </xf>
    <xf numFmtId="167" fontId="66" fillId="4" borderId="48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 horizontal="left" wrapText="1"/>
    </xf>
    <xf numFmtId="175" fontId="64" fillId="10" borderId="46" xfId="0" applyNumberFormat="1" applyFont="1" applyFill="1" applyBorder="1" applyAlignment="1">
      <alignment horizontal="center" wrapText="1"/>
    </xf>
    <xf numFmtId="175" fontId="64" fillId="10" borderId="24" xfId="0" applyNumberFormat="1" applyFont="1" applyFill="1" applyBorder="1" applyAlignment="1">
      <alignment horizontal="center" wrapText="1"/>
    </xf>
    <xf numFmtId="1" fontId="0" fillId="0" borderId="0" xfId="0" applyFont="1" applyAlignment="1">
      <alignment horizontal="left" wrapText="1"/>
    </xf>
    <xf numFmtId="1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wrapText="1"/>
    </xf>
    <xf numFmtId="49" fontId="2" fillId="10" borderId="56" xfId="0" applyNumberFormat="1" applyFont="1" applyFill="1" applyBorder="1" applyAlignment="1">
      <alignment horizontal="center" wrapText="1"/>
    </xf>
    <xf numFmtId="49" fontId="2" fillId="10" borderId="30" xfId="0" applyNumberFormat="1" applyFont="1" applyFill="1" applyBorder="1" applyAlignment="1">
      <alignment horizontal="center" wrapText="1"/>
    </xf>
    <xf numFmtId="1" fontId="0" fillId="0" borderId="0" xfId="0" applyFont="1" applyAlignment="1">
      <alignment horizontal="left"/>
    </xf>
    <xf numFmtId="175" fontId="64" fillId="10" borderId="46" xfId="0" applyNumberFormat="1" applyFont="1" applyFill="1" applyBorder="1" applyAlignment="1">
      <alignment horizontal="center" vertical="center" wrapText="1"/>
    </xf>
    <xf numFmtId="175" fontId="64" fillId="10" borderId="24" xfId="0" applyNumberFormat="1" applyFont="1" applyFill="1" applyBorder="1" applyAlignment="1">
      <alignment horizontal="center" vertical="center" wrapText="1"/>
    </xf>
    <xf numFmtId="1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 Production and Yield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7075"/>
          <c:w val="0.92575"/>
          <c:h val="0.894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'Witmielies White maize'!$B$9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AC3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'Witmielies White maize'!$C$9:$S$9</c:f>
              <c:numCache>
                <c:ptCount val="2"/>
                <c:pt idx="0">
                  <c:v>6903.656</c:v>
                </c:pt>
                <c:pt idx="1">
                  <c:v>5606.8</c:v>
                </c:pt>
              </c:numCache>
            </c:numRef>
          </c:val>
        </c:ser>
        <c:gapWidth val="75"/>
        <c:axId val="64426326"/>
        <c:axId val="42966023"/>
      </c:barChart>
      <c:lineChart>
        <c:grouping val="standard"/>
        <c:varyColors val="0"/>
        <c:ser>
          <c:idx val="1"/>
          <c:order val="0"/>
          <c:tx>
            <c:strRef>
              <c:f>'Witmielies White maize'!$B$8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'Witmielies White maize'!$C$8:$S$8</c:f>
              <c:numCache>
                <c:ptCount val="2"/>
                <c:pt idx="0">
                  <c:v>4.219322821171006</c:v>
                </c:pt>
                <c:pt idx="1">
                  <c:v>3.466979965372248</c:v>
                </c:pt>
              </c:numCache>
            </c:numRef>
          </c:val>
          <c:smooth val="0"/>
        </c:ser>
        <c:axId val="51149888"/>
        <c:axId val="57695809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426326"/>
        <c:crosses val="max"/>
        <c:crossBetween val="between"/>
        <c:dispUnits/>
        <c:majorUnit val="500"/>
      </c:valAx>
      <c:catAx>
        <c:axId val="51149888"/>
        <c:scaling>
          <c:orientation val="minMax"/>
        </c:scaling>
        <c:axPos val="b"/>
        <c:delete val="1"/>
        <c:majorTickMark val="out"/>
        <c:minorTickMark val="none"/>
        <c:tickLblPos val="nextTo"/>
        <c:crossAx val="57695809"/>
        <c:crosses val="autoZero"/>
        <c:auto val="1"/>
        <c:lblOffset val="100"/>
        <c:tickLblSkip val="1"/>
        <c:noMultiLvlLbl val="0"/>
      </c:catAx>
      <c:valAx>
        <c:axId val="5769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9695"/>
          <c:w val="0.226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Sorghum Imports and Exports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'Witmielies White maize'!$B$19</c:f>
              <c:strCache>
                <c:ptCount val="1"/>
                <c:pt idx="0">
                  <c:v>Invoere /Imports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Sorghum!$C$77:$S$77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'Witmielies White maize'!$C$19:$S$19</c:f>
              <c:numCache>
                <c:ptCount val="2"/>
                <c:pt idx="0">
                  <c:v>11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Sorghum!$B$87</c:f>
              <c:strCache>
                <c:ptCount val="1"/>
                <c:pt idx="0">
                  <c:v>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Sorghum!$C$77:$S$77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Sorghum!$C$87:$S$87</c:f>
              <c:numCache>
                <c:ptCount val="2"/>
                <c:pt idx="0">
                  <c:v>19</c:v>
                </c:pt>
                <c:pt idx="1">
                  <c:v>18.953</c:v>
                </c:pt>
              </c:numCache>
            </c:numRef>
          </c:val>
        </c:ser>
        <c:axId val="37381774"/>
        <c:axId val="891647"/>
      </c:bar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81774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695"/>
          <c:w val="0.0812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Sorghum Food and Feed Consumption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Sorghum!$B$27</c:f>
              <c:strCache>
                <c:ptCount val="1"/>
                <c:pt idx="0">
                  <c:v>   Totaal voedsel / Total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Sorghum!$C$27:$S$27</c:f>
              <c:numCache>
                <c:ptCount val="2"/>
                <c:pt idx="0">
                  <c:v>158</c:v>
                </c:pt>
                <c:pt idx="1">
                  <c:v>165.43</c:v>
                </c:pt>
              </c:numCache>
            </c:numRef>
          </c:val>
        </c:ser>
        <c:ser>
          <c:idx val="2"/>
          <c:order val="1"/>
          <c:tx>
            <c:strRef>
              <c:f>Sorghum!$B$32</c:f>
              <c:strCache>
                <c:ptCount val="1"/>
                <c:pt idx="0">
                  <c:v>  Totaal voer / Total feed 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Sorghum!$C$32:$S$32</c:f>
              <c:numCache>
                <c:ptCount val="2"/>
                <c:pt idx="0">
                  <c:v>5.7</c:v>
                </c:pt>
                <c:pt idx="1">
                  <c:v>5.106000000000001</c:v>
                </c:pt>
              </c:numCache>
            </c:numRef>
          </c:val>
        </c:ser>
        <c:axId val="8024824"/>
        <c:axId val="5114553"/>
      </c:barChart>
      <c:catAx>
        <c:axId val="8024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24824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325"/>
          <c:y val="0.9695"/>
          <c:w val="0.1147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Sorghum Production and Yield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7075"/>
          <c:w val="0.92575"/>
          <c:h val="0.8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Sorghum!$B$9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Sorghum!$C$9:$S$9</c:f>
              <c:numCache>
                <c:ptCount val="2"/>
                <c:pt idx="0">
                  <c:v>135.5</c:v>
                </c:pt>
                <c:pt idx="1">
                  <c:v>147.2</c:v>
                </c:pt>
              </c:numCache>
            </c:numRef>
          </c:val>
        </c:ser>
        <c:gapWidth val="75"/>
        <c:axId val="46030978"/>
        <c:axId val="11625619"/>
      </c:barChart>
      <c:lineChart>
        <c:grouping val="standard"/>
        <c:varyColors val="0"/>
        <c:ser>
          <c:idx val="2"/>
          <c:order val="0"/>
          <c:tx>
            <c:strRef>
              <c:f>Sorghum!$B$8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'Totaal mielies Total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Sorghum!$C$8:$S$8</c:f>
              <c:numCache>
                <c:ptCount val="2"/>
                <c:pt idx="0">
                  <c:v>2.7909371781668386</c:v>
                </c:pt>
                <c:pt idx="1">
                  <c:v>2.336507936507936</c:v>
                </c:pt>
              </c:numCache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53"/>
        <c:crosses val="autoZero"/>
        <c:auto val="1"/>
        <c:lblOffset val="100"/>
        <c:tickLblSkip val="1"/>
        <c:noMultiLvlLbl val="0"/>
      </c:catAx>
      <c:valAx>
        <c:axId val="215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21708"/>
        <c:crossesAt val="1"/>
        <c:crossBetween val="between"/>
        <c:dispUnits/>
        <c:majorUnit val="0.25"/>
      </c:valAx>
      <c:catAx>
        <c:axId val="46030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978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7"/>
          <c:y val="0.9695"/>
          <c:w val="0.226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 Food and Feed Consumption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'Witmielies White maize'!$B$24</c:f>
              <c:strCache>
                <c:ptCount val="1"/>
                <c:pt idx="0">
                  <c:v>    Voedsel /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'Witmielies White maize'!$C$24:$S$24</c:f>
              <c:numCache>
                <c:ptCount val="2"/>
                <c:pt idx="0">
                  <c:v>4095</c:v>
                </c:pt>
                <c:pt idx="1">
                  <c:v>4118.448</c:v>
                </c:pt>
              </c:numCache>
            </c:numRef>
          </c:val>
        </c:ser>
        <c:ser>
          <c:idx val="2"/>
          <c:order val="1"/>
          <c:tx>
            <c:strRef>
              <c:f>'Witmielies White maize'!$B$25</c:f>
              <c:strCache>
                <c:ptCount val="1"/>
                <c:pt idx="0">
                  <c:v>    Voer / Feed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'Witmielies White maize'!$C$25:$S$25</c:f>
              <c:numCache>
                <c:ptCount val="2"/>
                <c:pt idx="0">
                  <c:v>904</c:v>
                </c:pt>
                <c:pt idx="1">
                  <c:v>651.925</c:v>
                </c:pt>
              </c:numCache>
            </c:numRef>
          </c:val>
        </c:ser>
        <c:axId val="49500234"/>
        <c:axId val="42848923"/>
      </c:bar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 val="autoZero"/>
        <c:auto val="1"/>
        <c:lblOffset val="100"/>
        <c:tickLblSkip val="1"/>
        <c:noMultiLvlLbl val="0"/>
      </c:catAx>
      <c:valAx>
        <c:axId val="42848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500234"/>
        <c:crosses val="max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45"/>
          <c:y val="0.9695"/>
          <c:w val="0.0712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 Imports and Exports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'Witmielies White maize'!$B$19</c:f>
              <c:strCache>
                <c:ptCount val="1"/>
                <c:pt idx="0">
                  <c:v>Invoere /Imports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'Witmielies White maize'!$C$19:$S$19</c:f>
              <c:numCache>
                <c:ptCount val="2"/>
                <c:pt idx="0">
                  <c:v>11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'Witmielies White maize'!$B$34</c:f>
              <c:strCache>
                <c:ptCount val="1"/>
                <c:pt idx="0">
                  <c:v> 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'Witmielies White maize'!$C$37:$S$37</c:f>
              <c:numCache>
                <c:ptCount val="2"/>
                <c:pt idx="0">
                  <c:v>1468</c:v>
                </c:pt>
                <c:pt idx="1">
                  <c:v>1008.923</c:v>
                </c:pt>
              </c:numCache>
            </c:numRef>
          </c:val>
        </c:ser>
        <c:axId val="50095988"/>
        <c:axId val="48210709"/>
      </c:bar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10709"/>
        <c:crosses val="autoZero"/>
        <c:auto val="1"/>
        <c:lblOffset val="100"/>
        <c:tickLblSkip val="1"/>
        <c:noMultiLvlLbl val="0"/>
      </c:catAx>
      <c:valAx>
        <c:axId val="48210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695"/>
          <c:w val="0.082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Production and Yield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7075"/>
          <c:w val="0.92575"/>
          <c:h val="0.894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'Geelmielies Yellow maize'!$B$9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'Geelmielies Yellow maize'!$C$9:$S$9</c:f>
              <c:numCache>
                <c:ptCount val="2"/>
                <c:pt idx="0">
                  <c:v>5217</c:v>
                </c:pt>
                <c:pt idx="1">
                  <c:v>6203.8</c:v>
                </c:pt>
              </c:numCache>
            </c:numRef>
          </c:val>
        </c:ser>
        <c:gapWidth val="75"/>
        <c:axId val="31243198"/>
        <c:axId val="12753327"/>
      </c:barChart>
      <c:lineChart>
        <c:grouping val="standard"/>
        <c:varyColors val="0"/>
        <c:ser>
          <c:idx val="2"/>
          <c:order val="0"/>
          <c:tx>
            <c:strRef>
              <c:f>'Geelmielies Yellow maize'!$B$8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'Geelmielies Yellow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'Geelmielies Yellow maize'!$C$8:$S$8</c:f>
              <c:numCache>
                <c:ptCount val="2"/>
                <c:pt idx="0">
                  <c:v>4.907808090310442</c:v>
                </c:pt>
                <c:pt idx="1">
                  <c:v>5.329725085910653</c:v>
                </c:pt>
              </c:numCache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86537"/>
        <c:crosses val="autoZero"/>
        <c:auto val="1"/>
        <c:lblOffset val="100"/>
        <c:tickLblSkip val="1"/>
        <c:noMultiLvlLbl val="0"/>
      </c:cat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71080"/>
        <c:crossesAt val="1"/>
        <c:crossBetween val="between"/>
        <c:dispUnits/>
        <c:majorUnit val="0.5"/>
      </c:valAx>
      <c:catAx>
        <c:axId val="3124319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7"/>
          <c:y val="0.9695"/>
          <c:w val="0.226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Food and Feed Consumption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'Geelmielies Yellow maize'!$B$24</c:f>
              <c:strCache>
                <c:ptCount val="1"/>
                <c:pt idx="0">
                  <c:v>    Voedsel /  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'Geelmielies Yellow maize'!$C$24:$S$24</c:f>
              <c:numCache>
                <c:ptCount val="2"/>
                <c:pt idx="0">
                  <c:v>404</c:v>
                </c:pt>
                <c:pt idx="1">
                  <c:v>463.862</c:v>
                </c:pt>
              </c:numCache>
            </c:numRef>
          </c:val>
        </c:ser>
        <c:ser>
          <c:idx val="2"/>
          <c:order val="1"/>
          <c:tx>
            <c:strRef>
              <c:f>'Geelmielies Yellow maize'!$B$25</c:f>
              <c:strCache>
                <c:ptCount val="1"/>
                <c:pt idx="0">
                  <c:v>    Voer /   Feed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'Geelmielies Yellow maize'!$C$25:$S$25</c:f>
              <c:numCache>
                <c:ptCount val="2"/>
                <c:pt idx="0">
                  <c:v>3474</c:v>
                </c:pt>
                <c:pt idx="1">
                  <c:v>4063.37</c:v>
                </c:pt>
              </c:numCache>
            </c:numRef>
          </c:val>
        </c:ser>
        <c:axId val="36152242"/>
        <c:axId val="56934723"/>
      </c:bar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152242"/>
        <c:crosses val="max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2"/>
          <c:y val="0.9695"/>
          <c:w val="0.07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Imports and Exports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'Geelmielies Yellow maize'!$B$19</c:f>
              <c:strCache>
                <c:ptCount val="1"/>
                <c:pt idx="0">
                  <c:v>Invoere /Imports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'Geelmielies Yellow maize'!$C$19:$S$19</c:f>
              <c:numCache>
                <c:ptCount val="2"/>
                <c:pt idx="0">
                  <c:v>0</c:v>
                </c:pt>
                <c:pt idx="1">
                  <c:v>79.682</c:v>
                </c:pt>
              </c:numCache>
            </c:numRef>
          </c:val>
        </c:ser>
        <c:ser>
          <c:idx val="2"/>
          <c:order val="1"/>
          <c:tx>
            <c:strRef>
              <c:f>'Geelmielies Yellow maize'!$B$34</c:f>
              <c:strCache>
                <c:ptCount val="1"/>
                <c:pt idx="0">
                  <c:v> 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'Geelmielies Yellow maize'!$C$37:$S$37</c:f>
              <c:numCache>
                <c:ptCount val="2"/>
                <c:pt idx="0">
                  <c:v>478</c:v>
                </c:pt>
                <c:pt idx="1">
                  <c:v>1223.6729999999998</c:v>
                </c:pt>
              </c:numCache>
            </c:numRef>
          </c:val>
        </c:ser>
        <c:axId val="42650460"/>
        <c:axId val="48309821"/>
      </c:bar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09821"/>
        <c:crosses val="autoZero"/>
        <c:auto val="1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50460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695"/>
          <c:w val="0.082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Maize Production and Yield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7075"/>
          <c:w val="0.92575"/>
          <c:h val="0.894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'Totaal mielies Total maize'!$B$9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'Totaal mielies Total maize'!$C$9:$S$9</c:f>
              <c:numCache>
                <c:ptCount val="2"/>
                <c:pt idx="0">
                  <c:v>12120.655999999999</c:v>
                </c:pt>
                <c:pt idx="1">
                  <c:v>11810.6</c:v>
                </c:pt>
              </c:numCache>
            </c:numRef>
          </c:val>
        </c:ser>
        <c:gapWidth val="75"/>
        <c:axId val="32135206"/>
        <c:axId val="20781399"/>
      </c:barChart>
      <c:lineChart>
        <c:grouping val="standard"/>
        <c:varyColors val="0"/>
        <c:ser>
          <c:idx val="2"/>
          <c:order val="0"/>
          <c:tx>
            <c:strRef>
              <c:f>'Totaal mielies Total maize'!$B$8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'Totaal mielies Total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'Totaal mielies Total maize'!$C$8:$S$8</c:f>
              <c:numCache>
                <c:ptCount val="2"/>
                <c:pt idx="0">
                  <c:v>4.490462359217546</c:v>
                </c:pt>
                <c:pt idx="1">
                  <c:v>4.24658420825543</c:v>
                </c:pt>
              </c:numCache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14864"/>
        <c:crossesAt val="1"/>
        <c:crossBetween val="between"/>
        <c:dispUnits/>
        <c:majorUnit val="0.5"/>
      </c:valAx>
      <c:catAx>
        <c:axId val="32135206"/>
        <c:scaling>
          <c:orientation val="minMax"/>
        </c:scaling>
        <c:axPos val="b"/>
        <c:delete val="1"/>
        <c:majorTickMark val="out"/>
        <c:minorTickMark val="none"/>
        <c:tickLblPos val="nextTo"/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5206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7"/>
          <c:y val="0.9695"/>
          <c:w val="0.226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Maize Food and Feed Consumption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'Totaal mielies Total maize'!$B$24</c:f>
              <c:strCache>
                <c:ptCount val="1"/>
                <c:pt idx="0">
                  <c:v>    Voedsel /  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'Totaal mielies Total maize'!$C$24:$S$24</c:f>
              <c:numCache>
                <c:ptCount val="2"/>
                <c:pt idx="0">
                  <c:v>4499</c:v>
                </c:pt>
                <c:pt idx="1">
                  <c:v>4582.31</c:v>
                </c:pt>
              </c:numCache>
            </c:numRef>
          </c:val>
        </c:ser>
        <c:ser>
          <c:idx val="2"/>
          <c:order val="1"/>
          <c:tx>
            <c:strRef>
              <c:f>'Totaal mielies Total maize'!$B$25</c:f>
              <c:strCache>
                <c:ptCount val="1"/>
                <c:pt idx="0">
                  <c:v>    Voer /   Feed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'Totaal mielies Total maize'!$C$25:$S$25</c:f>
              <c:numCache>
                <c:ptCount val="2"/>
                <c:pt idx="0">
                  <c:v>4378</c:v>
                </c:pt>
                <c:pt idx="1">
                  <c:v>4715.295</c:v>
                </c:pt>
              </c:numCache>
            </c:numRef>
          </c:val>
        </c:ser>
        <c:axId val="50145562"/>
        <c:axId val="48656875"/>
      </c:bar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56875"/>
        <c:crosses val="autoZero"/>
        <c:auto val="1"/>
        <c:lblOffset val="100"/>
        <c:tickLblSkip val="1"/>
        <c:noMultiLvlLbl val="0"/>
      </c:catAx>
      <c:valAx>
        <c:axId val="486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145562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2"/>
          <c:y val="0.9695"/>
          <c:w val="0.07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Maize Imports and Exports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075"/>
          <c:w val="0.9487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'Totaal mielies Total maize'!$B$19</c:f>
              <c:strCache>
                <c:ptCount val="1"/>
                <c:pt idx="0">
                  <c:v>Invoere /Imports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'Totaal mielies Total maize'!$C$19:$S$19</c:f>
              <c:numCache>
                <c:ptCount val="2"/>
                <c:pt idx="0">
                  <c:v>11</c:v>
                </c:pt>
                <c:pt idx="1">
                  <c:v>79.682</c:v>
                </c:pt>
              </c:numCache>
            </c:numRef>
          </c:val>
        </c:ser>
        <c:ser>
          <c:idx val="2"/>
          <c:order val="1"/>
          <c:tx>
            <c:strRef>
              <c:f>'Totaal mielies Total maize'!$B$34</c:f>
              <c:strCache>
                <c:ptCount val="1"/>
                <c:pt idx="0">
                  <c:v> 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maize'!$C$6:$S$6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'Totaal mielies Total maize'!$C$37:$S$37</c:f>
              <c:numCache>
                <c:ptCount val="2"/>
                <c:pt idx="0">
                  <c:v>1946</c:v>
                </c:pt>
                <c:pt idx="1">
                  <c:v>2232.5959999999995</c:v>
                </c:pt>
              </c:numCache>
            </c:numRef>
          </c:val>
        </c:ser>
        <c:axId val="35258692"/>
        <c:axId val="48892773"/>
      </c:bar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58692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695"/>
          <c:w val="0.082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20</xdr:row>
      <xdr:rowOff>57150</xdr:rowOff>
    </xdr:from>
    <xdr:to>
      <xdr:col>1</xdr:col>
      <xdr:colOff>1428750</xdr:colOff>
      <xdr:row>32</xdr:row>
      <xdr:rowOff>95250</xdr:rowOff>
    </xdr:to>
    <xdr:pic>
      <xdr:nvPicPr>
        <xdr:cNvPr id="1" name="Picture 2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81350"/>
          <a:ext cx="1390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ssel@grainsa.co.za" TargetMode="External" /><Relationship Id="rId2" Type="http://schemas.openxmlformats.org/officeDocument/2006/relationships/hyperlink" Target="mailto:funzani@grainsa.co.z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="90" zoomScaleNormal="90" zoomScalePageLayoutView="0" workbookViewId="0" topLeftCell="A1">
      <selection activeCell="F25" sqref="F25"/>
    </sheetView>
  </sheetViews>
  <sheetFormatPr defaultColWidth="9.140625" defaultRowHeight="12" customHeight="1"/>
  <cols>
    <col min="1" max="1" width="2.421875" style="0" customWidth="1"/>
    <col min="2" max="2" width="116.57421875" style="0" customWidth="1"/>
    <col min="5" max="5" width="15.7109375" style="0" bestFit="1" customWidth="1"/>
  </cols>
  <sheetData>
    <row r="1" spans="1:2" s="18" customFormat="1" ht="19.5" customHeight="1">
      <c r="A1" s="18" t="s">
        <v>45</v>
      </c>
      <c r="B1" s="19" t="s">
        <v>40</v>
      </c>
    </row>
    <row r="2" s="18" customFormat="1" ht="19.5" customHeight="1">
      <c r="B2" s="19" t="s">
        <v>41</v>
      </c>
    </row>
    <row r="3" s="7" customFormat="1" ht="12" customHeight="1">
      <c r="B3" s="6"/>
    </row>
    <row r="4" s="7" customFormat="1" ht="12" customHeight="1">
      <c r="B4" s="5" t="s">
        <v>52</v>
      </c>
    </row>
    <row r="5" s="7" customFormat="1" ht="12" customHeight="1">
      <c r="B5" s="35">
        <v>41912</v>
      </c>
    </row>
    <row r="6" s="7" customFormat="1" ht="12" customHeight="1">
      <c r="B6" s="7" t="s">
        <v>45</v>
      </c>
    </row>
    <row r="7" s="7" customFormat="1" ht="12" customHeight="1" hidden="1">
      <c r="B7" s="422"/>
    </row>
    <row r="8" s="7" customFormat="1" ht="12" customHeight="1">
      <c r="B8" s="422" t="s">
        <v>114</v>
      </c>
    </row>
    <row r="9" s="7" customFormat="1" ht="12" customHeight="1">
      <c r="B9" s="422" t="s">
        <v>115</v>
      </c>
    </row>
    <row r="10" s="7" customFormat="1" ht="12" customHeight="1" hidden="1">
      <c r="B10" s="422"/>
    </row>
    <row r="11" s="7" customFormat="1" ht="12" customHeight="1">
      <c r="B11" s="421" t="s">
        <v>128</v>
      </c>
    </row>
    <row r="12" s="7" customFormat="1" ht="12" customHeight="1">
      <c r="B12" s="422" t="s">
        <v>162</v>
      </c>
    </row>
    <row r="13" s="7" customFormat="1" ht="12" customHeight="1">
      <c r="B13" s="13"/>
    </row>
    <row r="14" s="7" customFormat="1" ht="12" customHeight="1">
      <c r="B14" s="13"/>
    </row>
    <row r="15" s="300" customFormat="1" ht="15" customHeight="1">
      <c r="B15" s="299" t="s">
        <v>134</v>
      </c>
    </row>
    <row r="16" s="300" customFormat="1" ht="15" customHeight="1">
      <c r="B16" s="299" t="s">
        <v>4</v>
      </c>
    </row>
    <row r="17" s="300" customFormat="1" ht="15" customHeight="1">
      <c r="B17" s="299" t="s">
        <v>83</v>
      </c>
    </row>
    <row r="18" s="300" customFormat="1" ht="15" customHeight="1">
      <c r="B18" s="724" t="s">
        <v>135</v>
      </c>
    </row>
    <row r="19" s="300" customFormat="1" ht="15" customHeight="1">
      <c r="B19" s="724" t="s">
        <v>136</v>
      </c>
    </row>
    <row r="20" s="7" customFormat="1" ht="12" customHeight="1">
      <c r="B20" s="57"/>
    </row>
    <row r="21" s="7" customFormat="1" ht="12" customHeight="1">
      <c r="B21" s="57"/>
    </row>
    <row r="22" s="7" customFormat="1" ht="12" customHeight="1">
      <c r="B22" s="57"/>
    </row>
    <row r="23" s="7" customFormat="1" ht="12" customHeight="1">
      <c r="B23" s="57"/>
    </row>
    <row r="24" s="7" customFormat="1" ht="12" customHeight="1">
      <c r="B24" s="57"/>
    </row>
    <row r="25" s="7" customFormat="1" ht="12" customHeight="1">
      <c r="B25" s="57"/>
    </row>
    <row r="26" s="7" customFormat="1" ht="12" customHeight="1">
      <c r="B26" s="57"/>
    </row>
    <row r="27" s="7" customFormat="1" ht="12" customHeight="1">
      <c r="B27" s="57"/>
    </row>
    <row r="28" s="7" customFormat="1" ht="12" customHeight="1">
      <c r="B28" s="57"/>
    </row>
    <row r="29" s="7" customFormat="1" ht="12" customHeight="1">
      <c r="B29" s="57"/>
    </row>
    <row r="30" s="7" customFormat="1" ht="12" customHeight="1">
      <c r="B30" s="57"/>
    </row>
    <row r="31" s="7" customFormat="1" ht="12" customHeight="1"/>
    <row r="32" s="7" customFormat="1" ht="12" customHeight="1"/>
    <row r="33" s="7" customFormat="1" ht="12" customHeight="1"/>
    <row r="34" s="7" customFormat="1" ht="12" customHeight="1"/>
    <row r="35" s="7" customFormat="1" ht="12" customHeight="1"/>
    <row r="36" s="7" customFormat="1" ht="12" customHeight="1"/>
    <row r="37" s="7" customFormat="1" ht="12" customHeight="1"/>
    <row r="38" s="7" customFormat="1" ht="12" customHeight="1"/>
    <row r="39" s="7" customFormat="1" ht="12" customHeight="1"/>
    <row r="40" s="7" customFormat="1" ht="12" customHeight="1"/>
    <row r="41" s="7" customFormat="1" ht="12" customHeight="1"/>
    <row r="42" s="7" customFormat="1" ht="12" customHeight="1"/>
    <row r="43" s="7" customFormat="1" ht="12" customHeight="1"/>
    <row r="44" s="7" customFormat="1" ht="12" customHeight="1"/>
    <row r="45" s="7" customFormat="1" ht="12" customHeight="1"/>
    <row r="46" s="7" customFormat="1" ht="12" customHeight="1"/>
    <row r="47" s="7" customFormat="1" ht="12" customHeight="1"/>
    <row r="48" s="7" customFormat="1" ht="12" customHeight="1"/>
    <row r="49" s="7" customFormat="1" ht="12" customHeight="1"/>
    <row r="50" s="7" customFormat="1" ht="12" customHeight="1"/>
    <row r="51" s="7" customFormat="1" ht="12" customHeight="1"/>
    <row r="52" s="7" customFormat="1" ht="12" customHeight="1"/>
    <row r="53" s="7" customFormat="1" ht="12" customHeight="1"/>
    <row r="54" s="7" customFormat="1" ht="12" customHeight="1"/>
    <row r="55" s="7" customFormat="1" ht="12" customHeight="1"/>
    <row r="56" s="7" customFormat="1" ht="12" customHeight="1"/>
    <row r="57" s="7" customFormat="1" ht="12" customHeight="1"/>
    <row r="58" s="7" customFormat="1" ht="12" customHeight="1"/>
    <row r="59" s="7" customFormat="1" ht="12" customHeight="1"/>
    <row r="60" s="7" customFormat="1" ht="12" customHeight="1"/>
    <row r="61" s="7" customFormat="1" ht="12" customHeight="1"/>
    <row r="62" s="7" customFormat="1" ht="12" customHeight="1"/>
    <row r="63" s="7" customFormat="1" ht="12" customHeight="1"/>
    <row r="64" s="7" customFormat="1" ht="12" customHeight="1"/>
    <row r="65" s="7" customFormat="1" ht="12" customHeight="1"/>
    <row r="66" s="7" customFormat="1" ht="12" customHeight="1"/>
    <row r="67" s="7" customFormat="1" ht="12" customHeight="1"/>
    <row r="68" s="7" customFormat="1" ht="12" customHeight="1"/>
    <row r="69" s="7" customFormat="1" ht="12" customHeight="1"/>
    <row r="70" s="7" customFormat="1" ht="12" customHeight="1"/>
    <row r="71" s="7" customFormat="1" ht="12" customHeight="1"/>
    <row r="72" s="7" customFormat="1" ht="12" customHeight="1"/>
    <row r="73" s="7" customFormat="1" ht="12" customHeight="1"/>
    <row r="74" s="7" customFormat="1" ht="12" customHeight="1"/>
    <row r="75" s="7" customFormat="1" ht="12" customHeight="1"/>
    <row r="76" s="7" customFormat="1" ht="12" customHeight="1"/>
    <row r="77" s="7" customFormat="1" ht="12" customHeight="1"/>
    <row r="78" s="7" customFormat="1" ht="12" customHeight="1"/>
    <row r="79" s="7" customFormat="1" ht="12" customHeight="1"/>
    <row r="80" s="7" customFormat="1" ht="12" customHeight="1"/>
    <row r="81" s="7" customFormat="1" ht="12" customHeight="1"/>
    <row r="82" s="7" customFormat="1" ht="12" customHeight="1"/>
    <row r="83" s="7" customFormat="1" ht="12" customHeight="1"/>
    <row r="84" s="7" customFormat="1" ht="12" customHeight="1"/>
    <row r="85" s="7" customFormat="1" ht="12" customHeight="1"/>
    <row r="86" s="7" customFormat="1" ht="12" customHeight="1"/>
    <row r="87" s="7" customFormat="1" ht="12" customHeight="1"/>
    <row r="88" s="7" customFormat="1" ht="12" customHeight="1"/>
    <row r="89" s="7" customFormat="1" ht="12" customHeight="1"/>
    <row r="90" s="7" customFormat="1" ht="12" customHeight="1"/>
    <row r="91" s="7" customFormat="1" ht="12" customHeight="1"/>
    <row r="92" s="7" customFormat="1" ht="12" customHeight="1"/>
    <row r="93" s="7" customFormat="1" ht="12" customHeight="1"/>
    <row r="94" s="7" customFormat="1" ht="12" customHeight="1"/>
    <row r="95" s="7" customFormat="1" ht="12" customHeight="1"/>
    <row r="96" s="7" customFormat="1" ht="12" customHeight="1"/>
    <row r="97" s="7" customFormat="1" ht="12" customHeight="1"/>
    <row r="98" s="7" customFormat="1" ht="12" customHeight="1"/>
    <row r="99" s="7" customFormat="1" ht="12" customHeight="1"/>
    <row r="100" s="7" customFormat="1" ht="12" customHeight="1"/>
    <row r="101" s="7" customFormat="1" ht="12" customHeight="1"/>
    <row r="102" s="7" customFormat="1" ht="12" customHeight="1"/>
    <row r="103" s="7" customFormat="1" ht="12" customHeight="1"/>
    <row r="104" s="7" customFormat="1" ht="12" customHeight="1"/>
    <row r="105" s="7" customFormat="1" ht="12" customHeight="1"/>
    <row r="106" s="7" customFormat="1" ht="12" customHeight="1"/>
    <row r="107" s="7" customFormat="1" ht="12" customHeight="1"/>
    <row r="108" s="7" customFormat="1" ht="12" customHeight="1"/>
    <row r="109" s="7" customFormat="1" ht="12" customHeight="1"/>
    <row r="110" s="7" customFormat="1" ht="12" customHeight="1"/>
    <row r="111" s="7" customFormat="1" ht="12" customHeight="1"/>
    <row r="112" s="7" customFormat="1" ht="12" customHeight="1"/>
    <row r="113" s="7" customFormat="1" ht="12" customHeight="1"/>
    <row r="114" s="7" customFormat="1" ht="12" customHeight="1"/>
    <row r="115" s="7" customFormat="1" ht="12" customHeight="1"/>
    <row r="116" s="7" customFormat="1" ht="12" customHeight="1"/>
    <row r="117" s="7" customFormat="1" ht="12" customHeight="1"/>
    <row r="118" s="7" customFormat="1" ht="12" customHeight="1"/>
    <row r="119" s="7" customFormat="1" ht="12" customHeight="1"/>
    <row r="120" s="7" customFormat="1" ht="12" customHeight="1"/>
    <row r="121" s="7" customFormat="1" ht="12" customHeight="1"/>
    <row r="122" s="7" customFormat="1" ht="12" customHeight="1"/>
    <row r="123" s="7" customFormat="1" ht="12" customHeight="1"/>
    <row r="124" s="7" customFormat="1" ht="12" customHeight="1"/>
    <row r="125" s="7" customFormat="1" ht="12" customHeight="1"/>
    <row r="126" s="7" customFormat="1" ht="12" customHeight="1"/>
    <row r="127" s="7" customFormat="1" ht="12" customHeight="1"/>
    <row r="128" s="7" customFormat="1" ht="12" customHeight="1"/>
    <row r="129" s="7" customFormat="1" ht="12" customHeight="1"/>
    <row r="130" s="7" customFormat="1" ht="12" customHeight="1"/>
    <row r="131" s="7" customFormat="1" ht="12" customHeight="1"/>
    <row r="132" s="7" customFormat="1" ht="12" customHeight="1"/>
    <row r="133" s="7" customFormat="1" ht="12" customHeight="1"/>
    <row r="134" s="7" customFormat="1" ht="12" customHeight="1"/>
    <row r="135" s="7" customFormat="1" ht="12" customHeight="1"/>
    <row r="136" s="7" customFormat="1" ht="12" customHeight="1"/>
    <row r="137" s="7" customFormat="1" ht="12" customHeight="1"/>
    <row r="138" s="7" customFormat="1" ht="12" customHeight="1"/>
    <row r="139" s="7" customFormat="1" ht="12" customHeight="1"/>
    <row r="140" s="7" customFormat="1" ht="12" customHeight="1"/>
    <row r="141" s="7" customFormat="1" ht="12" customHeight="1"/>
    <row r="142" s="7" customFormat="1" ht="12" customHeight="1"/>
    <row r="143" s="7" customFormat="1" ht="12" customHeight="1"/>
    <row r="144" s="7" customFormat="1" ht="12" customHeight="1"/>
    <row r="145" s="7" customFormat="1" ht="12" customHeight="1"/>
    <row r="146" s="7" customFormat="1" ht="12" customHeight="1"/>
    <row r="147" s="7" customFormat="1" ht="12" customHeight="1"/>
    <row r="148" s="7" customFormat="1" ht="12" customHeight="1"/>
    <row r="149" s="7" customFormat="1" ht="12" customHeight="1"/>
    <row r="150" s="7" customFormat="1" ht="12" customHeight="1"/>
    <row r="151" s="7" customFormat="1" ht="12" customHeight="1"/>
    <row r="152" s="7" customFormat="1" ht="12" customHeight="1"/>
    <row r="153" s="7" customFormat="1" ht="12" customHeight="1"/>
    <row r="154" s="7" customFormat="1" ht="12" customHeight="1"/>
    <row r="155" s="7" customFormat="1" ht="12" customHeight="1"/>
    <row r="156" s="7" customFormat="1" ht="12" customHeight="1"/>
    <row r="157" s="7" customFormat="1" ht="12" customHeight="1"/>
    <row r="158" s="7" customFormat="1" ht="12" customHeight="1"/>
    <row r="159" s="7" customFormat="1" ht="12" customHeight="1"/>
    <row r="160" s="7" customFormat="1" ht="12" customHeight="1"/>
    <row r="161" s="7" customFormat="1" ht="12" customHeight="1"/>
    <row r="162" s="7" customFormat="1" ht="12" customHeight="1"/>
    <row r="163" s="7" customFormat="1" ht="12" customHeight="1"/>
    <row r="164" s="7" customFormat="1" ht="12" customHeight="1"/>
    <row r="165" s="7" customFormat="1" ht="12" customHeight="1"/>
    <row r="166" s="7" customFormat="1" ht="12" customHeight="1"/>
    <row r="167" s="7" customFormat="1" ht="12" customHeight="1"/>
    <row r="168" s="7" customFormat="1" ht="12" customHeight="1"/>
    <row r="169" s="7" customFormat="1" ht="12" customHeight="1"/>
    <row r="170" s="7" customFormat="1" ht="12" customHeight="1"/>
    <row r="171" s="7" customFormat="1" ht="12" customHeight="1"/>
    <row r="172" s="7" customFormat="1" ht="12" customHeight="1"/>
    <row r="173" s="7" customFormat="1" ht="12" customHeight="1"/>
    <row r="174" s="7" customFormat="1" ht="12" customHeight="1"/>
    <row r="175" s="7" customFormat="1" ht="12" customHeight="1"/>
    <row r="176" s="7" customFormat="1" ht="12" customHeight="1"/>
    <row r="177" s="7" customFormat="1" ht="12" customHeight="1"/>
    <row r="178" s="7" customFormat="1" ht="12" customHeight="1"/>
    <row r="179" s="7" customFormat="1" ht="12" customHeight="1"/>
    <row r="180" s="7" customFormat="1" ht="12" customHeight="1"/>
    <row r="181" s="7" customFormat="1" ht="12" customHeight="1"/>
    <row r="182" s="7" customFormat="1" ht="12" customHeight="1"/>
    <row r="183" s="7" customFormat="1" ht="12" customHeight="1"/>
    <row r="184" s="7" customFormat="1" ht="12" customHeight="1"/>
    <row r="185" s="7" customFormat="1" ht="12" customHeight="1"/>
    <row r="186" s="7" customFormat="1" ht="12" customHeight="1"/>
    <row r="187" s="7" customFormat="1" ht="12" customHeight="1"/>
    <row r="188" s="7" customFormat="1" ht="12" customHeight="1"/>
    <row r="189" s="7" customFormat="1" ht="12" customHeight="1"/>
    <row r="190" s="7" customFormat="1" ht="12" customHeight="1"/>
    <row r="191" s="7" customFormat="1" ht="12" customHeight="1"/>
    <row r="192" s="7" customFormat="1" ht="12" customHeight="1"/>
    <row r="193" s="7" customFormat="1" ht="12" customHeight="1"/>
    <row r="194" s="7" customFormat="1" ht="12" customHeight="1"/>
    <row r="195" s="7" customFormat="1" ht="12" customHeight="1"/>
    <row r="196" s="7" customFormat="1" ht="12" customHeight="1"/>
    <row r="197" s="7" customFormat="1" ht="12" customHeight="1"/>
    <row r="198" s="7" customFormat="1" ht="12" customHeight="1"/>
    <row r="199" s="7" customFormat="1" ht="12" customHeight="1"/>
    <row r="200" s="7" customFormat="1" ht="12" customHeight="1"/>
    <row r="201" s="7" customFormat="1" ht="12" customHeight="1"/>
    <row r="202" s="7" customFormat="1" ht="12" customHeight="1"/>
    <row r="203" s="7" customFormat="1" ht="12" customHeight="1"/>
    <row r="204" s="7" customFormat="1" ht="12" customHeight="1"/>
    <row r="205" s="7" customFormat="1" ht="12" customHeight="1"/>
    <row r="206" s="7" customFormat="1" ht="12" customHeight="1"/>
    <row r="207" s="7" customFormat="1" ht="12" customHeight="1"/>
    <row r="208" s="7" customFormat="1" ht="12" customHeight="1"/>
    <row r="209" s="7" customFormat="1" ht="12" customHeight="1"/>
    <row r="210" s="7" customFormat="1" ht="12" customHeight="1"/>
    <row r="211" s="7" customFormat="1" ht="12" customHeight="1"/>
    <row r="212" s="7" customFormat="1" ht="12" customHeight="1"/>
    <row r="213" s="7" customFormat="1" ht="12" customHeight="1"/>
    <row r="214" s="7" customFormat="1" ht="12" customHeight="1"/>
    <row r="215" s="7" customFormat="1" ht="12" customHeight="1"/>
    <row r="216" s="7" customFormat="1" ht="12" customHeight="1"/>
    <row r="217" s="7" customFormat="1" ht="12" customHeight="1"/>
    <row r="218" s="7" customFormat="1" ht="12" customHeight="1"/>
    <row r="219" s="7" customFormat="1" ht="12" customHeight="1"/>
    <row r="220" s="7" customFormat="1" ht="12" customHeight="1"/>
    <row r="221" s="7" customFormat="1" ht="12" customHeight="1"/>
    <row r="222" s="7" customFormat="1" ht="12" customHeight="1"/>
    <row r="223" s="7" customFormat="1" ht="12" customHeight="1"/>
    <row r="224" s="7" customFormat="1" ht="12" customHeight="1"/>
    <row r="225" s="7" customFormat="1" ht="12" customHeight="1"/>
    <row r="226" s="7" customFormat="1" ht="12" customHeight="1"/>
    <row r="227" s="7" customFormat="1" ht="12" customHeight="1"/>
    <row r="228" s="7" customFormat="1" ht="12" customHeight="1"/>
    <row r="229" s="7" customFormat="1" ht="12" customHeight="1"/>
    <row r="230" s="7" customFormat="1" ht="12" customHeight="1"/>
    <row r="231" s="7" customFormat="1" ht="12" customHeight="1"/>
    <row r="232" s="7" customFormat="1" ht="12" customHeight="1"/>
    <row r="233" s="7" customFormat="1" ht="12" customHeight="1"/>
    <row r="234" s="7" customFormat="1" ht="12" customHeight="1"/>
    <row r="235" s="7" customFormat="1" ht="12" customHeight="1"/>
    <row r="236" s="7" customFormat="1" ht="12" customHeight="1"/>
    <row r="237" s="7" customFormat="1" ht="12" customHeight="1"/>
    <row r="238" s="7" customFormat="1" ht="12" customHeight="1"/>
    <row r="239" s="7" customFormat="1" ht="12" customHeight="1"/>
    <row r="240" s="7" customFormat="1" ht="12" customHeight="1"/>
    <row r="241" s="7" customFormat="1" ht="12" customHeight="1"/>
    <row r="242" s="7" customFormat="1" ht="12" customHeight="1"/>
    <row r="243" s="7" customFormat="1" ht="12" customHeight="1"/>
    <row r="244" s="7" customFormat="1" ht="12" customHeight="1"/>
    <row r="245" s="7" customFormat="1" ht="12" customHeight="1"/>
    <row r="246" s="7" customFormat="1" ht="12" customHeight="1"/>
    <row r="247" s="7" customFormat="1" ht="12" customHeight="1"/>
    <row r="248" s="7" customFormat="1" ht="12" customHeight="1"/>
    <row r="249" s="7" customFormat="1" ht="12" customHeight="1"/>
    <row r="250" s="7" customFormat="1" ht="12" customHeight="1"/>
    <row r="251" s="7" customFormat="1" ht="12" customHeight="1"/>
    <row r="252" s="7" customFormat="1" ht="12" customHeight="1"/>
    <row r="253" s="7" customFormat="1" ht="12" customHeight="1"/>
    <row r="254" s="7" customFormat="1" ht="12" customHeight="1"/>
    <row r="255" s="7" customFormat="1" ht="12" customHeight="1"/>
    <row r="256" s="7" customFormat="1" ht="12" customHeight="1"/>
    <row r="257" s="7" customFormat="1" ht="12" customHeight="1"/>
    <row r="258" s="7" customFormat="1" ht="12" customHeight="1"/>
    <row r="259" s="7" customFormat="1" ht="12" customHeight="1"/>
    <row r="260" s="7" customFormat="1" ht="12" customHeight="1"/>
    <row r="261" s="7" customFormat="1" ht="12" customHeight="1"/>
    <row r="262" s="7" customFormat="1" ht="12" customHeight="1"/>
    <row r="263" s="7" customFormat="1" ht="12" customHeight="1"/>
    <row r="264" s="7" customFormat="1" ht="12" customHeight="1"/>
    <row r="265" s="7" customFormat="1" ht="12" customHeight="1"/>
    <row r="266" s="7" customFormat="1" ht="12" customHeight="1"/>
    <row r="267" s="7" customFormat="1" ht="12" customHeight="1"/>
    <row r="268" s="7" customFormat="1" ht="12" customHeight="1"/>
    <row r="269" s="7" customFormat="1" ht="12" customHeight="1"/>
    <row r="270" s="7" customFormat="1" ht="12" customHeight="1"/>
    <row r="271" s="7" customFormat="1" ht="12" customHeight="1"/>
    <row r="272" s="7" customFormat="1" ht="12" customHeight="1"/>
    <row r="273" s="7" customFormat="1" ht="12" customHeight="1"/>
    <row r="274" s="7" customFormat="1" ht="12" customHeight="1"/>
    <row r="275" s="7" customFormat="1" ht="12" customHeight="1"/>
    <row r="276" s="7" customFormat="1" ht="12" customHeight="1"/>
    <row r="277" s="7" customFormat="1" ht="12" customHeight="1"/>
    <row r="278" s="7" customFormat="1" ht="12" customHeight="1"/>
    <row r="279" s="7" customFormat="1" ht="12" customHeight="1"/>
    <row r="280" s="7" customFormat="1" ht="12" customHeight="1"/>
    <row r="281" s="7" customFormat="1" ht="12" customHeight="1"/>
    <row r="282" s="7" customFormat="1" ht="12" customHeight="1"/>
    <row r="283" s="7" customFormat="1" ht="12" customHeight="1"/>
    <row r="284" s="7" customFormat="1" ht="12" customHeight="1"/>
    <row r="285" s="7" customFormat="1" ht="12" customHeight="1"/>
    <row r="286" s="7" customFormat="1" ht="12" customHeight="1"/>
    <row r="287" s="7" customFormat="1" ht="12" customHeight="1"/>
    <row r="288" s="7" customFormat="1" ht="12" customHeight="1"/>
    <row r="289" s="7" customFormat="1" ht="12" customHeight="1"/>
    <row r="290" s="7" customFormat="1" ht="12" customHeight="1"/>
    <row r="291" s="7" customFormat="1" ht="12" customHeight="1"/>
    <row r="292" s="7" customFormat="1" ht="12" customHeight="1"/>
    <row r="293" s="7" customFormat="1" ht="12" customHeight="1"/>
    <row r="294" s="7" customFormat="1" ht="12" customHeight="1"/>
    <row r="295" s="7" customFormat="1" ht="12" customHeight="1"/>
    <row r="296" s="7" customFormat="1" ht="12" customHeight="1"/>
    <row r="297" s="7" customFormat="1" ht="12" customHeight="1"/>
    <row r="298" s="7" customFormat="1" ht="12" customHeight="1"/>
    <row r="299" s="7" customFormat="1" ht="12" customHeight="1"/>
    <row r="300" s="7" customFormat="1" ht="12" customHeight="1"/>
    <row r="301" s="7" customFormat="1" ht="12" customHeight="1"/>
    <row r="302" s="7" customFormat="1" ht="12" customHeight="1"/>
    <row r="303" s="7" customFormat="1" ht="12" customHeight="1"/>
    <row r="304" s="7" customFormat="1" ht="12" customHeight="1"/>
    <row r="305" s="7" customFormat="1" ht="12" customHeight="1"/>
    <row r="306" s="7" customFormat="1" ht="12" customHeight="1"/>
    <row r="307" s="7" customFormat="1" ht="12" customHeight="1"/>
    <row r="308" s="7" customFormat="1" ht="12" customHeight="1"/>
    <row r="309" s="7" customFormat="1" ht="12" customHeight="1"/>
    <row r="310" s="7" customFormat="1" ht="12" customHeight="1"/>
    <row r="311" s="7" customFormat="1" ht="12" customHeight="1"/>
    <row r="312" s="7" customFormat="1" ht="12" customHeight="1"/>
    <row r="313" s="7" customFormat="1" ht="12" customHeight="1"/>
    <row r="314" s="7" customFormat="1" ht="12" customHeight="1"/>
    <row r="315" s="7" customFormat="1" ht="12" customHeight="1"/>
    <row r="316" s="7" customFormat="1" ht="12" customHeight="1"/>
    <row r="317" s="7" customFormat="1" ht="12" customHeight="1"/>
    <row r="318" s="7" customFormat="1" ht="12" customHeight="1"/>
    <row r="319" s="7" customFormat="1" ht="12" customHeight="1"/>
    <row r="320" s="7" customFormat="1" ht="12" customHeight="1"/>
    <row r="321" s="7" customFormat="1" ht="12" customHeight="1"/>
    <row r="322" s="7" customFormat="1" ht="12" customHeight="1"/>
    <row r="323" s="7" customFormat="1" ht="12" customHeight="1"/>
    <row r="324" s="7" customFormat="1" ht="12" customHeight="1"/>
    <row r="325" s="7" customFormat="1" ht="12" customHeight="1"/>
    <row r="326" s="7" customFormat="1" ht="12" customHeight="1"/>
    <row r="327" s="7" customFormat="1" ht="12" customHeight="1"/>
    <row r="328" s="7" customFormat="1" ht="12" customHeight="1"/>
    <row r="329" s="7" customFormat="1" ht="12" customHeight="1"/>
    <row r="330" s="7" customFormat="1" ht="12" customHeight="1"/>
    <row r="331" s="7" customFormat="1" ht="12" customHeight="1"/>
    <row r="332" s="7" customFormat="1" ht="12" customHeight="1"/>
    <row r="333" s="7" customFormat="1" ht="12" customHeight="1"/>
    <row r="334" s="7" customFormat="1" ht="12" customHeight="1"/>
    <row r="335" s="7" customFormat="1" ht="12" customHeight="1"/>
    <row r="336" s="7" customFormat="1" ht="12" customHeight="1"/>
    <row r="337" s="7" customFormat="1" ht="12" customHeight="1"/>
    <row r="338" s="7" customFormat="1" ht="12" customHeight="1"/>
    <row r="339" s="7" customFormat="1" ht="12" customHeight="1"/>
    <row r="340" s="7" customFormat="1" ht="12" customHeight="1"/>
    <row r="341" s="7" customFormat="1" ht="12" customHeight="1"/>
    <row r="342" s="7" customFormat="1" ht="12" customHeight="1"/>
    <row r="343" s="7" customFormat="1" ht="12" customHeight="1"/>
    <row r="344" s="7" customFormat="1" ht="12" customHeight="1"/>
    <row r="345" s="7" customFormat="1" ht="12" customHeight="1"/>
    <row r="346" s="7" customFormat="1" ht="12" customHeight="1"/>
    <row r="347" s="7" customFormat="1" ht="12" customHeight="1"/>
    <row r="348" s="7" customFormat="1" ht="12" customHeight="1"/>
    <row r="349" s="7" customFormat="1" ht="12" customHeight="1"/>
    <row r="350" s="7" customFormat="1" ht="12" customHeight="1"/>
    <row r="351" s="7" customFormat="1" ht="12" customHeight="1"/>
    <row r="352" s="7" customFormat="1" ht="12" customHeight="1"/>
    <row r="353" s="7" customFormat="1" ht="12" customHeight="1"/>
    <row r="354" s="7" customFormat="1" ht="12" customHeight="1"/>
    <row r="355" s="7" customFormat="1" ht="12" customHeight="1"/>
    <row r="356" s="7" customFormat="1" ht="12" customHeight="1"/>
    <row r="357" s="7" customFormat="1" ht="12" customHeight="1"/>
    <row r="358" s="7" customFormat="1" ht="12" customHeight="1"/>
    <row r="359" s="7" customFormat="1" ht="12" customHeight="1"/>
    <row r="360" s="7" customFormat="1" ht="12" customHeight="1"/>
    <row r="361" s="7" customFormat="1" ht="12" customHeight="1"/>
    <row r="362" s="7" customFormat="1" ht="12" customHeight="1"/>
    <row r="363" s="7" customFormat="1" ht="12" customHeight="1"/>
    <row r="364" s="7" customFormat="1" ht="12" customHeight="1"/>
    <row r="365" s="7" customFormat="1" ht="12" customHeight="1"/>
    <row r="366" s="7" customFormat="1" ht="12" customHeight="1"/>
    <row r="367" s="7" customFormat="1" ht="12" customHeight="1"/>
    <row r="368" s="7" customFormat="1" ht="12" customHeight="1"/>
    <row r="369" s="7" customFormat="1" ht="12" customHeight="1"/>
    <row r="370" s="7" customFormat="1" ht="12" customHeight="1"/>
    <row r="371" s="7" customFormat="1" ht="12" customHeight="1"/>
    <row r="372" s="7" customFormat="1" ht="12" customHeight="1"/>
    <row r="373" s="7" customFormat="1" ht="12" customHeight="1"/>
    <row r="374" s="7" customFormat="1" ht="12" customHeight="1"/>
    <row r="375" s="7" customFormat="1" ht="12" customHeight="1"/>
    <row r="376" s="7" customFormat="1" ht="12" customHeight="1"/>
    <row r="377" s="7" customFormat="1" ht="12" customHeight="1"/>
    <row r="378" s="7" customFormat="1" ht="12" customHeight="1"/>
    <row r="379" s="7" customFormat="1" ht="12" customHeight="1"/>
    <row r="380" s="7" customFormat="1" ht="12" customHeight="1"/>
    <row r="381" s="7" customFormat="1" ht="12" customHeight="1"/>
    <row r="382" s="7" customFormat="1" ht="12" customHeight="1"/>
    <row r="383" s="7" customFormat="1" ht="12" customHeight="1"/>
    <row r="384" s="7" customFormat="1" ht="12" customHeight="1"/>
    <row r="385" s="7" customFormat="1" ht="12" customHeight="1"/>
    <row r="386" s="7" customFormat="1" ht="12" customHeight="1"/>
    <row r="387" s="7" customFormat="1" ht="12" customHeight="1"/>
    <row r="388" s="7" customFormat="1" ht="12" customHeight="1"/>
    <row r="389" s="7" customFormat="1" ht="12" customHeight="1"/>
    <row r="390" s="7" customFormat="1" ht="12" customHeight="1"/>
    <row r="391" s="7" customFormat="1" ht="12" customHeight="1"/>
    <row r="392" s="7" customFormat="1" ht="12" customHeight="1"/>
    <row r="393" s="7" customFormat="1" ht="12" customHeight="1"/>
    <row r="394" s="7" customFormat="1" ht="12" customHeight="1"/>
    <row r="395" s="7" customFormat="1" ht="12" customHeight="1"/>
    <row r="396" s="7" customFormat="1" ht="12" customHeight="1"/>
    <row r="397" s="7" customFormat="1" ht="12" customHeight="1"/>
    <row r="398" s="7" customFormat="1" ht="12" customHeight="1"/>
    <row r="399" s="7" customFormat="1" ht="12" customHeight="1"/>
    <row r="400" s="7" customFormat="1" ht="12" customHeight="1"/>
    <row r="401" s="7" customFormat="1" ht="12" customHeight="1"/>
    <row r="402" s="7" customFormat="1" ht="12" customHeight="1"/>
    <row r="403" s="7" customFormat="1" ht="12" customHeight="1"/>
    <row r="404" s="7" customFormat="1" ht="12" customHeight="1"/>
    <row r="405" s="7" customFormat="1" ht="12" customHeight="1"/>
    <row r="406" s="7" customFormat="1" ht="12" customHeight="1"/>
    <row r="407" s="7" customFormat="1" ht="12" customHeight="1"/>
    <row r="408" s="7" customFormat="1" ht="12" customHeight="1"/>
    <row r="409" s="7" customFormat="1" ht="12" customHeight="1"/>
    <row r="410" s="7" customFormat="1" ht="12" customHeight="1"/>
    <row r="411" s="7" customFormat="1" ht="12" customHeight="1"/>
    <row r="412" s="7" customFormat="1" ht="12" customHeight="1"/>
    <row r="413" s="7" customFormat="1" ht="12" customHeight="1"/>
    <row r="414" s="7" customFormat="1" ht="12" customHeight="1"/>
    <row r="415" s="7" customFormat="1" ht="12" customHeight="1"/>
    <row r="416" s="7" customFormat="1" ht="12" customHeight="1"/>
    <row r="417" s="7" customFormat="1" ht="12" customHeight="1"/>
    <row r="418" s="7" customFormat="1" ht="12" customHeight="1"/>
    <row r="419" s="7" customFormat="1" ht="12" customHeight="1"/>
    <row r="420" s="7" customFormat="1" ht="12" customHeight="1"/>
    <row r="421" s="7" customFormat="1" ht="12" customHeight="1"/>
    <row r="422" s="7" customFormat="1" ht="12" customHeight="1"/>
    <row r="423" s="7" customFormat="1" ht="12" customHeight="1"/>
    <row r="424" s="7" customFormat="1" ht="12" customHeight="1"/>
    <row r="425" s="7" customFormat="1" ht="12" customHeight="1"/>
    <row r="426" s="7" customFormat="1" ht="12" customHeight="1"/>
    <row r="427" s="7" customFormat="1" ht="12" customHeight="1"/>
    <row r="428" s="7" customFormat="1" ht="12" customHeight="1"/>
    <row r="429" s="7" customFormat="1" ht="12" customHeight="1"/>
    <row r="430" s="7" customFormat="1" ht="12" customHeight="1"/>
    <row r="431" s="7" customFormat="1" ht="12" customHeight="1"/>
    <row r="432" s="7" customFormat="1" ht="12" customHeight="1"/>
    <row r="433" s="7" customFormat="1" ht="12" customHeight="1"/>
    <row r="434" s="7" customFormat="1" ht="12" customHeight="1"/>
    <row r="435" s="7" customFormat="1" ht="12" customHeight="1"/>
    <row r="436" s="7" customFormat="1" ht="12" customHeight="1"/>
    <row r="437" s="7" customFormat="1" ht="12" customHeight="1"/>
    <row r="438" s="7" customFormat="1" ht="12" customHeight="1"/>
    <row r="439" s="7" customFormat="1" ht="12" customHeight="1"/>
    <row r="440" s="7" customFormat="1" ht="12" customHeight="1"/>
    <row r="441" s="7" customFormat="1" ht="12" customHeight="1"/>
    <row r="442" s="7" customFormat="1" ht="12" customHeight="1"/>
    <row r="443" s="7" customFormat="1" ht="12" customHeight="1"/>
    <row r="444" s="7" customFormat="1" ht="12" customHeight="1"/>
    <row r="445" s="7" customFormat="1" ht="12" customHeight="1"/>
    <row r="446" s="7" customFormat="1" ht="12" customHeight="1"/>
    <row r="447" s="7" customFormat="1" ht="12" customHeight="1"/>
    <row r="448" s="7" customFormat="1" ht="12" customHeight="1"/>
    <row r="449" s="7" customFormat="1" ht="12" customHeight="1"/>
    <row r="450" s="7" customFormat="1" ht="12" customHeight="1"/>
    <row r="451" s="7" customFormat="1" ht="12" customHeight="1"/>
    <row r="452" s="7" customFormat="1" ht="12" customHeight="1"/>
    <row r="453" s="7" customFormat="1" ht="12" customHeight="1"/>
    <row r="454" s="7" customFormat="1" ht="12" customHeight="1"/>
    <row r="455" s="7" customFormat="1" ht="12" customHeight="1"/>
    <row r="456" s="7" customFormat="1" ht="12" customHeight="1"/>
    <row r="457" s="7" customFormat="1" ht="12" customHeight="1"/>
    <row r="458" s="7" customFormat="1" ht="12" customHeight="1"/>
    <row r="459" s="7" customFormat="1" ht="12" customHeight="1"/>
    <row r="460" s="7" customFormat="1" ht="12" customHeight="1"/>
    <row r="461" s="7" customFormat="1" ht="12" customHeight="1"/>
    <row r="462" s="7" customFormat="1" ht="12" customHeight="1"/>
    <row r="463" s="7" customFormat="1" ht="12" customHeight="1"/>
    <row r="464" s="7" customFormat="1" ht="12" customHeight="1"/>
    <row r="465" s="7" customFormat="1" ht="12" customHeight="1"/>
    <row r="466" s="7" customFormat="1" ht="12" customHeight="1"/>
    <row r="467" s="7" customFormat="1" ht="12" customHeight="1"/>
    <row r="468" s="7" customFormat="1" ht="12" customHeight="1"/>
    <row r="469" s="7" customFormat="1" ht="12" customHeight="1"/>
    <row r="470" s="7" customFormat="1" ht="12" customHeight="1"/>
    <row r="471" s="7" customFormat="1" ht="12" customHeight="1"/>
    <row r="472" s="7" customFormat="1" ht="12" customHeight="1"/>
    <row r="473" s="7" customFormat="1" ht="12" customHeight="1"/>
    <row r="474" s="7" customFormat="1" ht="12" customHeight="1"/>
    <row r="475" s="7" customFormat="1" ht="12" customHeight="1"/>
    <row r="476" s="7" customFormat="1" ht="12" customHeight="1"/>
    <row r="477" s="7" customFormat="1" ht="12" customHeight="1"/>
    <row r="478" s="7" customFormat="1" ht="12" customHeight="1"/>
    <row r="479" s="7" customFormat="1" ht="12" customHeight="1"/>
    <row r="480" s="7" customFormat="1" ht="12" customHeight="1"/>
    <row r="481" s="7" customFormat="1" ht="12" customHeight="1"/>
    <row r="482" s="7" customFormat="1" ht="12" customHeight="1"/>
    <row r="483" s="7" customFormat="1" ht="12" customHeight="1"/>
    <row r="484" s="7" customFormat="1" ht="12" customHeight="1"/>
    <row r="485" s="7" customFormat="1" ht="12" customHeight="1"/>
    <row r="486" s="7" customFormat="1" ht="12" customHeight="1"/>
    <row r="487" s="7" customFormat="1" ht="12" customHeight="1"/>
    <row r="488" s="7" customFormat="1" ht="12" customHeight="1"/>
    <row r="489" s="7" customFormat="1" ht="12" customHeight="1"/>
    <row r="490" s="7" customFormat="1" ht="12" customHeight="1"/>
    <row r="491" s="7" customFormat="1" ht="12" customHeight="1"/>
    <row r="492" s="7" customFormat="1" ht="12" customHeight="1"/>
    <row r="493" s="7" customFormat="1" ht="12" customHeight="1"/>
    <row r="494" s="7" customFormat="1" ht="12" customHeight="1"/>
    <row r="495" s="7" customFormat="1" ht="12" customHeight="1"/>
    <row r="496" s="7" customFormat="1" ht="12" customHeight="1"/>
    <row r="497" s="7" customFormat="1" ht="12" customHeight="1"/>
    <row r="498" s="7" customFormat="1" ht="12" customHeight="1"/>
    <row r="499" s="7" customFormat="1" ht="12" customHeight="1"/>
    <row r="500" s="7" customFormat="1" ht="12" customHeight="1"/>
    <row r="501" s="7" customFormat="1" ht="12" customHeight="1"/>
    <row r="502" s="7" customFormat="1" ht="12" customHeight="1"/>
    <row r="503" s="7" customFormat="1" ht="12" customHeight="1"/>
    <row r="504" s="7" customFormat="1" ht="12" customHeight="1"/>
    <row r="505" s="7" customFormat="1" ht="12" customHeight="1"/>
    <row r="506" s="7" customFormat="1" ht="12" customHeight="1"/>
    <row r="507" s="7" customFormat="1" ht="12" customHeight="1"/>
    <row r="508" s="7" customFormat="1" ht="12" customHeight="1"/>
    <row r="509" s="7" customFormat="1" ht="12" customHeight="1"/>
    <row r="510" s="7" customFormat="1" ht="12" customHeight="1"/>
    <row r="511" s="7" customFormat="1" ht="12" customHeight="1"/>
    <row r="512" s="7" customFormat="1" ht="12" customHeight="1"/>
    <row r="513" s="7" customFormat="1" ht="12" customHeight="1"/>
    <row r="514" s="7" customFormat="1" ht="12" customHeight="1"/>
    <row r="515" s="7" customFormat="1" ht="12" customHeight="1"/>
    <row r="516" s="7" customFormat="1" ht="12" customHeight="1"/>
    <row r="517" s="7" customFormat="1" ht="12" customHeight="1"/>
    <row r="518" s="7" customFormat="1" ht="12" customHeight="1"/>
    <row r="519" s="7" customFormat="1" ht="12" customHeight="1"/>
    <row r="520" s="7" customFormat="1" ht="12" customHeight="1"/>
    <row r="521" s="7" customFormat="1" ht="12" customHeight="1"/>
    <row r="522" s="7" customFormat="1" ht="12" customHeight="1"/>
    <row r="523" s="7" customFormat="1" ht="12" customHeight="1"/>
    <row r="524" s="7" customFormat="1" ht="12" customHeight="1"/>
    <row r="525" s="7" customFormat="1" ht="12" customHeight="1"/>
    <row r="526" s="7" customFormat="1" ht="12" customHeight="1"/>
    <row r="527" s="7" customFormat="1" ht="12" customHeight="1"/>
    <row r="528" s="7" customFormat="1" ht="12" customHeight="1"/>
    <row r="529" s="7" customFormat="1" ht="12" customHeight="1"/>
    <row r="530" s="7" customFormat="1" ht="12" customHeight="1"/>
    <row r="531" s="7" customFormat="1" ht="12" customHeight="1"/>
    <row r="532" s="7" customFormat="1" ht="12" customHeight="1"/>
    <row r="533" s="7" customFormat="1" ht="12" customHeight="1"/>
    <row r="534" s="7" customFormat="1" ht="12" customHeight="1"/>
    <row r="535" s="7" customFormat="1" ht="12" customHeight="1"/>
    <row r="536" s="7" customFormat="1" ht="12" customHeight="1"/>
    <row r="537" s="7" customFormat="1" ht="12" customHeight="1"/>
    <row r="538" s="7" customFormat="1" ht="12" customHeight="1"/>
    <row r="539" s="7" customFormat="1" ht="12" customHeight="1"/>
    <row r="540" s="7" customFormat="1" ht="12" customHeight="1"/>
    <row r="541" s="7" customFormat="1" ht="12" customHeight="1"/>
    <row r="542" s="7" customFormat="1" ht="12" customHeight="1"/>
    <row r="543" s="7" customFormat="1" ht="12" customHeight="1"/>
    <row r="544" s="7" customFormat="1" ht="12" customHeight="1"/>
    <row r="545" s="7" customFormat="1" ht="12" customHeight="1"/>
    <row r="546" s="7" customFormat="1" ht="12" customHeight="1"/>
    <row r="547" s="7" customFormat="1" ht="12" customHeight="1"/>
    <row r="548" s="7" customFormat="1" ht="12" customHeight="1"/>
    <row r="549" s="7" customFormat="1" ht="12" customHeight="1"/>
    <row r="550" s="7" customFormat="1" ht="12" customHeight="1"/>
    <row r="551" s="7" customFormat="1" ht="12" customHeight="1"/>
    <row r="552" s="7" customFormat="1" ht="12" customHeight="1"/>
    <row r="553" s="7" customFormat="1" ht="12" customHeight="1"/>
    <row r="554" s="7" customFormat="1" ht="12" customHeight="1"/>
    <row r="555" s="7" customFormat="1" ht="12" customHeight="1"/>
    <row r="556" s="7" customFormat="1" ht="12" customHeight="1"/>
    <row r="557" s="7" customFormat="1" ht="12" customHeight="1"/>
    <row r="558" s="7" customFormat="1" ht="12" customHeight="1"/>
    <row r="559" s="7" customFormat="1" ht="12" customHeight="1"/>
    <row r="560" s="7" customFormat="1" ht="12" customHeight="1"/>
    <row r="561" s="7" customFormat="1" ht="12" customHeight="1"/>
  </sheetData>
  <sheetProtection/>
  <hyperlinks>
    <hyperlink ref="B18" r:id="rId1" display="wessel@grainsa.co.za"/>
    <hyperlink ref="B19" r:id="rId2" display="funzani@grainsa.co.za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8"/>
  <sheetViews>
    <sheetView tabSelected="1" zoomScalePageLayoutView="0" workbookViewId="0" topLeftCell="A1">
      <pane xSplit="2" ySplit="6" topLeftCell="R38" activePane="bottomRight" state="frozen"/>
      <selection pane="topLeft" activeCell="A1" sqref="A1:Z52"/>
      <selection pane="topRight" activeCell="A1" sqref="A1:Z52"/>
      <selection pane="bottomLeft" activeCell="A1" sqref="A1:Z52"/>
      <selection pane="bottomRight" activeCell="B54" sqref="B54"/>
    </sheetView>
  </sheetViews>
  <sheetFormatPr defaultColWidth="9.140625" defaultRowHeight="12.75"/>
  <cols>
    <col min="1" max="1" width="3.140625" style="259" customWidth="1"/>
    <col min="2" max="2" width="73.140625" style="7" customWidth="1"/>
    <col min="3" max="4" width="9.140625" style="13" hidden="1" customWidth="1"/>
    <col min="5" max="5" width="10.421875" style="13" hidden="1" customWidth="1"/>
    <col min="6" max="6" width="9.140625" style="13" hidden="1" customWidth="1"/>
    <col min="7" max="10" width="9.140625" style="9" hidden="1" customWidth="1"/>
    <col min="11" max="11" width="8.7109375" style="22" hidden="1" customWidth="1"/>
    <col min="12" max="15" width="9.140625" style="7" hidden="1" customWidth="1"/>
    <col min="16" max="16" width="8.57421875" style="7" hidden="1" customWidth="1"/>
    <col min="17" max="17" width="10.7109375" style="7" hidden="1" customWidth="1"/>
    <col min="18" max="18" width="10.7109375" style="7" customWidth="1"/>
    <col min="19" max="19" width="13.57421875" style="7" customWidth="1"/>
    <col min="20" max="22" width="15.57421875" style="7" customWidth="1"/>
    <col min="23" max="23" width="15.28125" style="440" customWidth="1"/>
    <col min="24" max="24" width="12.8515625" style="7" customWidth="1"/>
    <col min="25" max="16384" width="9.140625" style="7" customWidth="1"/>
  </cols>
  <sheetData>
    <row r="1" spans="2:23" ht="12.75">
      <c r="B1" s="453" t="s">
        <v>47</v>
      </c>
      <c r="C1" s="442"/>
      <c r="D1" s="442"/>
      <c r="E1" s="442"/>
      <c r="F1" s="442"/>
      <c r="G1" s="443"/>
      <c r="H1" s="443"/>
      <c r="I1" s="443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54"/>
    </row>
    <row r="2" spans="2:23" ht="12.75">
      <c r="B2" s="455" t="s">
        <v>48</v>
      </c>
      <c r="C2" s="456"/>
      <c r="D2" s="456"/>
      <c r="E2" s="456"/>
      <c r="F2" s="456"/>
      <c r="G2" s="17"/>
      <c r="H2" s="17"/>
      <c r="I2" s="17"/>
      <c r="J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458"/>
    </row>
    <row r="3" spans="2:23" ht="13.5" thickBot="1">
      <c r="B3" s="455"/>
      <c r="C3" s="456"/>
      <c r="D3" s="456"/>
      <c r="E3" s="456"/>
      <c r="F3" s="456"/>
      <c r="G3" s="17"/>
      <c r="H3" s="17"/>
      <c r="I3" s="17"/>
      <c r="J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458"/>
    </row>
    <row r="4" spans="2:23" ht="13.5" customHeight="1" thickBot="1">
      <c r="B4" s="441" t="s">
        <v>56</v>
      </c>
      <c r="C4" s="442"/>
      <c r="D4" s="442"/>
      <c r="E4" s="442"/>
      <c r="F4" s="442"/>
      <c r="G4" s="443"/>
      <c r="H4" s="443"/>
      <c r="I4" s="443"/>
      <c r="J4" s="444"/>
      <c r="K4" s="444"/>
      <c r="L4" s="444"/>
      <c r="M4" s="445"/>
      <c r="N4" s="445"/>
      <c r="O4" s="444"/>
      <c r="P4" s="444"/>
      <c r="Q4" s="444"/>
      <c r="R4" s="666"/>
      <c r="S4" s="680"/>
      <c r="T4" s="682" t="s">
        <v>121</v>
      </c>
      <c r="U4" s="682" t="s">
        <v>121</v>
      </c>
      <c r="V4" s="766" t="s">
        <v>138</v>
      </c>
      <c r="W4" s="766" t="s">
        <v>112</v>
      </c>
    </row>
    <row r="5" spans="2:23" ht="13.5" customHeight="1" thickBot="1">
      <c r="B5" s="447">
        <f>'Voorblad Front page'!B5</f>
        <v>41912</v>
      </c>
      <c r="C5" s="448"/>
      <c r="D5" s="449"/>
      <c r="E5" s="448"/>
      <c r="F5" s="449"/>
      <c r="G5" s="450"/>
      <c r="H5" s="450"/>
      <c r="I5" s="450"/>
      <c r="J5" s="451"/>
      <c r="K5" s="451"/>
      <c r="L5" s="452"/>
      <c r="M5" s="56"/>
      <c r="N5" s="56"/>
      <c r="O5" s="56"/>
      <c r="P5" s="56"/>
      <c r="Q5" s="56"/>
      <c r="R5" s="668"/>
      <c r="S5" s="681"/>
      <c r="T5" s="683" t="s">
        <v>137</v>
      </c>
      <c r="U5" s="683" t="s">
        <v>153</v>
      </c>
      <c r="V5" s="767"/>
      <c r="W5" s="767"/>
    </row>
    <row r="6" spans="1:23" s="10" customFormat="1" ht="13.5" thickBot="1">
      <c r="A6" s="260"/>
      <c r="B6" s="655" t="s">
        <v>67</v>
      </c>
      <c r="C6" s="351" t="s">
        <v>7</v>
      </c>
      <c r="D6" s="656" t="s">
        <v>6</v>
      </c>
      <c r="E6" s="351" t="s">
        <v>80</v>
      </c>
      <c r="F6" s="657" t="s">
        <v>5</v>
      </c>
      <c r="G6" s="658" t="s">
        <v>9</v>
      </c>
      <c r="H6" s="658" t="s">
        <v>11</v>
      </c>
      <c r="I6" s="658" t="s">
        <v>39</v>
      </c>
      <c r="J6" s="658" t="s">
        <v>44</v>
      </c>
      <c r="K6" s="659" t="s">
        <v>46</v>
      </c>
      <c r="L6" s="658" t="s">
        <v>54</v>
      </c>
      <c r="M6" s="658" t="s">
        <v>55</v>
      </c>
      <c r="N6" s="658" t="s">
        <v>66</v>
      </c>
      <c r="O6" s="583" t="s">
        <v>73</v>
      </c>
      <c r="P6" s="583" t="s">
        <v>77</v>
      </c>
      <c r="Q6" s="654" t="s">
        <v>84</v>
      </c>
      <c r="R6" s="583" t="s">
        <v>120</v>
      </c>
      <c r="S6" s="654" t="s">
        <v>125</v>
      </c>
      <c r="T6" s="584" t="s">
        <v>123</v>
      </c>
      <c r="U6" s="584" t="s">
        <v>123</v>
      </c>
      <c r="V6" s="679" t="s">
        <v>111</v>
      </c>
      <c r="W6" s="679" t="s">
        <v>111</v>
      </c>
    </row>
    <row r="7" spans="1:24" s="10" customFormat="1" ht="12.75">
      <c r="A7" s="260"/>
      <c r="B7" s="52" t="s">
        <v>59</v>
      </c>
      <c r="C7" s="333">
        <v>1794</v>
      </c>
      <c r="D7" s="189">
        <v>1797.2</v>
      </c>
      <c r="E7" s="190">
        <v>1829.7</v>
      </c>
      <c r="F7" s="189">
        <v>2148.5</v>
      </c>
      <c r="G7" s="190">
        <v>1562</v>
      </c>
      <c r="H7" s="189">
        <v>1842.6</v>
      </c>
      <c r="I7" s="190">
        <v>2232.5</v>
      </c>
      <c r="J7" s="189">
        <v>1842</v>
      </c>
      <c r="K7" s="190">
        <v>1700</v>
      </c>
      <c r="L7" s="189">
        <v>1033</v>
      </c>
      <c r="M7" s="190">
        <v>1624.8</v>
      </c>
      <c r="N7" s="404">
        <v>1737</v>
      </c>
      <c r="O7" s="272">
        <v>1489</v>
      </c>
      <c r="P7" s="272">
        <v>1719.7</v>
      </c>
      <c r="Q7" s="302">
        <v>1418.3</v>
      </c>
      <c r="R7" s="272">
        <v>1636.2</v>
      </c>
      <c r="S7" s="302">
        <v>1617.2</v>
      </c>
      <c r="T7" s="585">
        <v>1551.2</v>
      </c>
      <c r="U7" s="585">
        <v>1551.2</v>
      </c>
      <c r="V7" s="651">
        <f aca="true" t="shared" si="0" ref="V7:V13">(U7-T7)/T7</f>
        <v>0</v>
      </c>
      <c r="W7" s="651">
        <f aca="true" t="shared" si="1" ref="W7:W13">(U7-S7)/S7</f>
        <v>-0.04081127875340094</v>
      </c>
      <c r="X7" s="259"/>
    </row>
    <row r="8" spans="1:23" s="10" customFormat="1" ht="12.75">
      <c r="A8" s="260"/>
      <c r="B8" s="336" t="s">
        <v>58</v>
      </c>
      <c r="C8" s="334">
        <f>C9/C7</f>
        <v>2.9036789297658863</v>
      </c>
      <c r="D8" s="327">
        <f aca="true" t="shared" si="2" ref="D8:R8">D9/D7</f>
        <v>2.481359893167149</v>
      </c>
      <c r="E8" s="327">
        <f t="shared" si="2"/>
        <v>2.5146198830409356</v>
      </c>
      <c r="F8" s="327">
        <f t="shared" si="2"/>
        <v>3.10951826855946</v>
      </c>
      <c r="G8" s="327">
        <f t="shared" si="2"/>
        <v>2.7274647887323944</v>
      </c>
      <c r="H8" s="327">
        <f t="shared" si="2"/>
        <v>3.0054271138608493</v>
      </c>
      <c r="I8" s="327">
        <f t="shared" si="2"/>
        <v>2.8513325867861146</v>
      </c>
      <c r="J8" s="327">
        <f t="shared" si="2"/>
        <v>3.1514657980456025</v>
      </c>
      <c r="K8" s="327">
        <f t="shared" si="2"/>
        <v>3.847470588235294</v>
      </c>
      <c r="L8" s="327">
        <f t="shared" si="2"/>
        <v>4.053630203291384</v>
      </c>
      <c r="M8" s="327">
        <f t="shared" si="2"/>
        <v>2.6557114721811916</v>
      </c>
      <c r="N8" s="405">
        <f t="shared" si="2"/>
        <v>4.306275187104203</v>
      </c>
      <c r="O8" s="327">
        <f t="shared" si="2"/>
        <v>4.550033579583613</v>
      </c>
      <c r="P8" s="327">
        <f t="shared" si="2"/>
        <v>4.5531197301854975</v>
      </c>
      <c r="Q8" s="327">
        <f t="shared" si="2"/>
        <v>4.26708030741028</v>
      </c>
      <c r="R8" s="436">
        <f t="shared" si="2"/>
        <v>4.219322821171006</v>
      </c>
      <c r="S8" s="686">
        <f>S9/S7</f>
        <v>3.466979965372248</v>
      </c>
      <c r="T8" s="586">
        <v>4.962190562145436</v>
      </c>
      <c r="U8" s="586">
        <f>U9/U7</f>
        <v>4.962190562145436</v>
      </c>
      <c r="V8" s="651">
        <f t="shared" si="0"/>
        <v>0</v>
      </c>
      <c r="W8" s="651">
        <f t="shared" si="1"/>
        <v>0.43127177304373243</v>
      </c>
    </row>
    <row r="9" spans="1:23" s="10" customFormat="1" ht="12.75">
      <c r="A9" s="260"/>
      <c r="B9" s="337" t="s">
        <v>75</v>
      </c>
      <c r="C9" s="157">
        <v>5209.2</v>
      </c>
      <c r="D9" s="155">
        <v>4459.5</v>
      </c>
      <c r="E9" s="156">
        <v>4601</v>
      </c>
      <c r="F9" s="155">
        <v>6680.8</v>
      </c>
      <c r="G9" s="156">
        <v>4260.3</v>
      </c>
      <c r="H9" s="155">
        <v>5537.8</v>
      </c>
      <c r="I9" s="156">
        <v>6365.6</v>
      </c>
      <c r="J9" s="155">
        <v>5805</v>
      </c>
      <c r="K9" s="156">
        <v>6540.7</v>
      </c>
      <c r="L9" s="155">
        <v>4187.4</v>
      </c>
      <c r="M9" s="156">
        <v>4315</v>
      </c>
      <c r="N9" s="276">
        <v>7480</v>
      </c>
      <c r="O9" s="158">
        <v>6775</v>
      </c>
      <c r="P9" s="158">
        <v>7830</v>
      </c>
      <c r="Q9" s="303">
        <v>6052</v>
      </c>
      <c r="R9" s="158">
        <v>6903.656</v>
      </c>
      <c r="S9" s="303">
        <v>5606.8</v>
      </c>
      <c r="T9" s="587">
        <v>7697.35</v>
      </c>
      <c r="U9" s="587">
        <v>7697.35</v>
      </c>
      <c r="V9" s="651">
        <f t="shared" si="0"/>
        <v>0</v>
      </c>
      <c r="W9" s="651">
        <f t="shared" si="1"/>
        <v>0.37285974174217024</v>
      </c>
    </row>
    <row r="10" spans="1:23" s="10" customFormat="1" ht="12.75">
      <c r="A10" s="260"/>
      <c r="B10" s="343" t="s">
        <v>91</v>
      </c>
      <c r="C10" s="332"/>
      <c r="D10" s="332">
        <v>119</v>
      </c>
      <c r="E10" s="332">
        <v>124</v>
      </c>
      <c r="F10" s="332">
        <v>188.9</v>
      </c>
      <c r="G10" s="332">
        <v>104.9</v>
      </c>
      <c r="H10" s="332">
        <v>139</v>
      </c>
      <c r="I10" s="332">
        <v>115.6</v>
      </c>
      <c r="J10" s="332">
        <v>113</v>
      </c>
      <c r="K10" s="332">
        <v>183.7</v>
      </c>
      <c r="L10" s="332">
        <v>144</v>
      </c>
      <c r="M10" s="332">
        <v>10.9</v>
      </c>
      <c r="N10" s="406">
        <v>119.9</v>
      </c>
      <c r="O10" s="158">
        <v>82.5</v>
      </c>
      <c r="P10" s="158">
        <v>118.7</v>
      </c>
      <c r="Q10" s="303">
        <v>100.3</v>
      </c>
      <c r="R10" s="158">
        <v>114</v>
      </c>
      <c r="S10" s="303">
        <v>110.942</v>
      </c>
      <c r="T10" s="587">
        <v>150</v>
      </c>
      <c r="U10" s="587">
        <v>150</v>
      </c>
      <c r="V10" s="651">
        <f t="shared" si="0"/>
        <v>0</v>
      </c>
      <c r="W10" s="651">
        <f t="shared" si="1"/>
        <v>0.352057832020335</v>
      </c>
    </row>
    <row r="11" spans="1:24" s="10" customFormat="1" ht="12.75">
      <c r="A11" s="260"/>
      <c r="B11" s="344" t="s">
        <v>130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406"/>
      <c r="O11" s="158"/>
      <c r="P11" s="158"/>
      <c r="Q11" s="303"/>
      <c r="R11" s="158">
        <v>231.363</v>
      </c>
      <c r="S11" s="303">
        <f>R12</f>
        <v>314.617</v>
      </c>
      <c r="T11" s="587">
        <v>175.997</v>
      </c>
      <c r="U11" s="587">
        <v>175.997</v>
      </c>
      <c r="V11" s="651">
        <f t="shared" si="0"/>
        <v>0</v>
      </c>
      <c r="W11" s="651">
        <f t="shared" si="1"/>
        <v>-0.4405992047473595</v>
      </c>
      <c r="X11" s="437"/>
    </row>
    <row r="12" spans="1:23" s="10" customFormat="1" ht="12.75">
      <c r="A12" s="260"/>
      <c r="B12" s="344" t="s">
        <v>131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406"/>
      <c r="O12" s="158"/>
      <c r="P12" s="158"/>
      <c r="Q12" s="303"/>
      <c r="R12" s="158">
        <f>(98642+215975)/1000</f>
        <v>314.617</v>
      </c>
      <c r="S12" s="303">
        <f>(53667+73245)/1000</f>
        <v>126.912</v>
      </c>
      <c r="T12" s="587">
        <v>177.282</v>
      </c>
      <c r="U12" s="762">
        <v>177.282</v>
      </c>
      <c r="V12" s="651">
        <f t="shared" si="0"/>
        <v>0</v>
      </c>
      <c r="W12" s="651">
        <f t="shared" si="1"/>
        <v>0.3968891830559758</v>
      </c>
    </row>
    <row r="13" spans="1:28" s="10" customFormat="1" ht="13.5" thickBot="1">
      <c r="A13" s="260"/>
      <c r="B13" s="338" t="s">
        <v>92</v>
      </c>
      <c r="C13" s="329">
        <f>C9-C10</f>
        <v>5209.2</v>
      </c>
      <c r="D13" s="331">
        <f aca="true" t="shared" si="3" ref="D13:Q13">D9-D10</f>
        <v>4340.5</v>
      </c>
      <c r="E13" s="331">
        <f t="shared" si="3"/>
        <v>4477</v>
      </c>
      <c r="F13" s="331">
        <f t="shared" si="3"/>
        <v>6491.900000000001</v>
      </c>
      <c r="G13" s="331">
        <f t="shared" si="3"/>
        <v>4155.400000000001</v>
      </c>
      <c r="H13" s="331">
        <f t="shared" si="3"/>
        <v>5398.8</v>
      </c>
      <c r="I13" s="331">
        <f t="shared" si="3"/>
        <v>6250</v>
      </c>
      <c r="J13" s="331">
        <f t="shared" si="3"/>
        <v>5692</v>
      </c>
      <c r="K13" s="331">
        <f t="shared" si="3"/>
        <v>6357</v>
      </c>
      <c r="L13" s="331">
        <f t="shared" si="3"/>
        <v>4043.3999999999996</v>
      </c>
      <c r="M13" s="331">
        <f t="shared" si="3"/>
        <v>4304.1</v>
      </c>
      <c r="N13" s="331">
        <f t="shared" si="3"/>
        <v>7360.1</v>
      </c>
      <c r="O13" s="407">
        <f t="shared" si="3"/>
        <v>6692.5</v>
      </c>
      <c r="P13" s="407">
        <f t="shared" si="3"/>
        <v>7711.3</v>
      </c>
      <c r="Q13" s="407">
        <f t="shared" si="3"/>
        <v>5951.7</v>
      </c>
      <c r="R13" s="561">
        <f>R9-R10-R11+R12</f>
        <v>6872.91</v>
      </c>
      <c r="S13" s="687">
        <f>S9-S10-S11+S12</f>
        <v>5308.153</v>
      </c>
      <c r="T13" s="588">
        <v>7548.635</v>
      </c>
      <c r="U13" s="588">
        <f>U9-U10-U11+U12</f>
        <v>7548.635</v>
      </c>
      <c r="V13" s="651">
        <f t="shared" si="0"/>
        <v>0</v>
      </c>
      <c r="W13" s="651">
        <f t="shared" si="1"/>
        <v>0.42208316150645997</v>
      </c>
      <c r="Y13" s="438"/>
      <c r="Z13" s="438"/>
      <c r="AA13" s="438"/>
      <c r="AB13" s="438"/>
    </row>
    <row r="14" spans="1:23" s="1" customFormat="1" ht="13.5" thickBot="1">
      <c r="A14" s="259"/>
      <c r="B14" s="335"/>
      <c r="C14" s="241" t="s">
        <v>3</v>
      </c>
      <c r="D14" s="67" t="s">
        <v>3</v>
      </c>
      <c r="E14" s="68" t="s">
        <v>3</v>
      </c>
      <c r="F14" s="67" t="s">
        <v>3</v>
      </c>
      <c r="G14" s="68" t="s">
        <v>3</v>
      </c>
      <c r="H14" s="67" t="s">
        <v>3</v>
      </c>
      <c r="I14" s="68" t="s">
        <v>3</v>
      </c>
      <c r="J14" s="67" t="s">
        <v>3</v>
      </c>
      <c r="K14" s="68" t="s">
        <v>3</v>
      </c>
      <c r="L14" s="67" t="s">
        <v>57</v>
      </c>
      <c r="M14" s="68" t="s">
        <v>3</v>
      </c>
      <c r="N14" s="67" t="s">
        <v>3</v>
      </c>
      <c r="O14" s="242" t="s">
        <v>3</v>
      </c>
      <c r="P14" s="246" t="s">
        <v>3</v>
      </c>
      <c r="Q14" s="267" t="s">
        <v>3</v>
      </c>
      <c r="R14" s="246" t="s">
        <v>3</v>
      </c>
      <c r="S14" s="267" t="s">
        <v>3</v>
      </c>
      <c r="T14" s="589" t="s">
        <v>4</v>
      </c>
      <c r="U14" s="589" t="s">
        <v>4</v>
      </c>
      <c r="V14" s="651"/>
      <c r="W14" s="651"/>
    </row>
    <row r="15" spans="1:27" s="10" customFormat="1" ht="13.5" thickBot="1">
      <c r="A15" s="261"/>
      <c r="B15" s="77"/>
      <c r="C15" s="83" t="s">
        <v>0</v>
      </c>
      <c r="D15" s="65" t="s">
        <v>0</v>
      </c>
      <c r="E15" s="54" t="s">
        <v>0</v>
      </c>
      <c r="F15" s="65" t="s">
        <v>0</v>
      </c>
      <c r="G15" s="54" t="s">
        <v>0</v>
      </c>
      <c r="H15" s="65" t="s">
        <v>0</v>
      </c>
      <c r="I15" s="54" t="s">
        <v>0</v>
      </c>
      <c r="J15" s="65" t="s">
        <v>0</v>
      </c>
      <c r="K15" s="54" t="s">
        <v>0</v>
      </c>
      <c r="L15" s="65" t="s">
        <v>0</v>
      </c>
      <c r="M15" s="257" t="s">
        <v>0</v>
      </c>
      <c r="N15" s="65" t="s">
        <v>0</v>
      </c>
      <c r="O15" s="258" t="s">
        <v>0</v>
      </c>
      <c r="P15" s="66" t="s">
        <v>0</v>
      </c>
      <c r="Q15" s="304" t="s">
        <v>0</v>
      </c>
      <c r="R15" s="66" t="s">
        <v>0</v>
      </c>
      <c r="S15" s="688" t="s">
        <v>0</v>
      </c>
      <c r="T15" s="590" t="s">
        <v>0</v>
      </c>
      <c r="U15" s="590" t="s">
        <v>0</v>
      </c>
      <c r="V15" s="651"/>
      <c r="W15" s="651"/>
      <c r="Y15" s="438"/>
      <c r="Z15" s="438"/>
      <c r="AA15" s="438"/>
    </row>
    <row r="16" spans="1:26" ht="12.75">
      <c r="A16" s="260"/>
      <c r="B16" s="51" t="s">
        <v>21</v>
      </c>
      <c r="C16" s="70"/>
      <c r="D16" s="71"/>
      <c r="E16" s="72"/>
      <c r="F16" s="73"/>
      <c r="G16" s="74"/>
      <c r="H16" s="74"/>
      <c r="I16" s="75"/>
      <c r="J16" s="75"/>
      <c r="K16" s="76"/>
      <c r="L16" s="44"/>
      <c r="M16" s="44"/>
      <c r="N16" s="44"/>
      <c r="O16" s="64"/>
      <c r="P16" s="64"/>
      <c r="Q16" s="305"/>
      <c r="R16" s="64"/>
      <c r="S16" s="689"/>
      <c r="T16" s="591"/>
      <c r="U16" s="591"/>
      <c r="V16" s="651"/>
      <c r="W16" s="651"/>
      <c r="X16" s="421"/>
      <c r="Y16" s="439"/>
      <c r="Z16" s="439"/>
    </row>
    <row r="17" spans="2:27" ht="12.75">
      <c r="B17" s="23" t="s">
        <v>60</v>
      </c>
      <c r="C17" s="97">
        <v>838</v>
      </c>
      <c r="D17" s="98">
        <v>947</v>
      </c>
      <c r="E17" s="97">
        <v>513</v>
      </c>
      <c r="F17" s="99">
        <v>609</v>
      </c>
      <c r="G17" s="100">
        <f>F40</f>
        <v>1273</v>
      </c>
      <c r="H17" s="100">
        <f>G40</f>
        <v>559</v>
      </c>
      <c r="I17" s="100">
        <f>H40</f>
        <v>1718</v>
      </c>
      <c r="J17" s="100">
        <f>+I40</f>
        <v>2123</v>
      </c>
      <c r="K17" s="101">
        <f>J40</f>
        <v>2402</v>
      </c>
      <c r="L17" s="100">
        <f>K40</f>
        <v>2300</v>
      </c>
      <c r="M17" s="102">
        <f>$L$40</f>
        <v>1630</v>
      </c>
      <c r="N17" s="102">
        <f>M40</f>
        <v>618</v>
      </c>
      <c r="O17" s="103">
        <f>$N$40</f>
        <v>762</v>
      </c>
      <c r="P17" s="103">
        <f>O40</f>
        <v>1362</v>
      </c>
      <c r="Q17" s="306">
        <f>P40</f>
        <v>1609</v>
      </c>
      <c r="R17" s="103">
        <v>518</v>
      </c>
      <c r="S17" s="306">
        <v>757.214</v>
      </c>
      <c r="T17" s="592">
        <v>274.3179999999993</v>
      </c>
      <c r="U17" s="592">
        <f>S40</f>
        <v>274.3179999999993</v>
      </c>
      <c r="V17" s="651">
        <f>(U17-T17)/T17</f>
        <v>0</v>
      </c>
      <c r="W17" s="651">
        <f>(U17-S17)/S17</f>
        <v>-0.6377272475152345</v>
      </c>
      <c r="X17" s="421"/>
      <c r="Y17" s="273"/>
      <c r="Z17" s="273"/>
      <c r="AA17" s="273"/>
    </row>
    <row r="18" spans="2:24" ht="12.75">
      <c r="B18" s="23" t="s">
        <v>79</v>
      </c>
      <c r="C18" s="97">
        <v>5183</v>
      </c>
      <c r="D18" s="98">
        <v>4412</v>
      </c>
      <c r="E18" s="97">
        <v>4652</v>
      </c>
      <c r="F18" s="99">
        <v>6440</v>
      </c>
      <c r="G18" s="100">
        <v>4636</v>
      </c>
      <c r="H18" s="100">
        <v>5576</v>
      </c>
      <c r="I18" s="100">
        <v>5845</v>
      </c>
      <c r="J18" s="100">
        <v>5647</v>
      </c>
      <c r="K18" s="101">
        <v>6108</v>
      </c>
      <c r="L18" s="104">
        <v>4392</v>
      </c>
      <c r="M18" s="100">
        <v>4309</v>
      </c>
      <c r="N18" s="100">
        <v>7190</v>
      </c>
      <c r="O18" s="105">
        <v>6737</v>
      </c>
      <c r="P18" s="105">
        <v>7518</v>
      </c>
      <c r="Q18" s="307">
        <v>6105</v>
      </c>
      <c r="R18" s="562">
        <v>6880</v>
      </c>
      <c r="S18" s="690">
        <v>5342.204</v>
      </c>
      <c r="T18" s="593">
        <v>7548.635</v>
      </c>
      <c r="U18" s="593">
        <f>U13</f>
        <v>7548.635</v>
      </c>
      <c r="V18" s="651">
        <f>(U18-T18)/T18</f>
        <v>0</v>
      </c>
      <c r="W18" s="651">
        <f>(U18-S18)/S18</f>
        <v>0.413018858882963</v>
      </c>
      <c r="X18" s="421"/>
    </row>
    <row r="19" spans="2:27" ht="13.5" thickBot="1">
      <c r="B19" s="26" t="s">
        <v>22</v>
      </c>
      <c r="C19" s="106">
        <v>5</v>
      </c>
      <c r="D19" s="107">
        <v>0</v>
      </c>
      <c r="E19" s="108">
        <v>0</v>
      </c>
      <c r="F19" s="109">
        <v>0</v>
      </c>
      <c r="G19" s="108">
        <v>47</v>
      </c>
      <c r="H19" s="108">
        <v>274</v>
      </c>
      <c r="I19" s="108">
        <v>33</v>
      </c>
      <c r="J19" s="108">
        <v>0</v>
      </c>
      <c r="K19" s="110">
        <v>0</v>
      </c>
      <c r="L19" s="108">
        <v>0</v>
      </c>
      <c r="M19" s="111">
        <v>46</v>
      </c>
      <c r="N19" s="111">
        <v>0</v>
      </c>
      <c r="O19" s="112">
        <v>0</v>
      </c>
      <c r="P19" s="112">
        <v>0</v>
      </c>
      <c r="Q19" s="308">
        <v>133</v>
      </c>
      <c r="R19" s="112">
        <v>11</v>
      </c>
      <c r="S19" s="691">
        <v>0</v>
      </c>
      <c r="T19" s="594">
        <v>0</v>
      </c>
      <c r="U19" s="594">
        <v>0</v>
      </c>
      <c r="V19" s="651"/>
      <c r="W19" s="651"/>
      <c r="Y19" s="273"/>
      <c r="Z19" s="273"/>
      <c r="AA19" s="273"/>
    </row>
    <row r="20" spans="1:23" s="1" customFormat="1" ht="13.5" thickBot="1">
      <c r="A20" s="259"/>
      <c r="B20" s="28" t="s">
        <v>23</v>
      </c>
      <c r="C20" s="113">
        <f aca="true" t="shared" si="4" ref="C20:R20">SUM(C17:C19)</f>
        <v>6026</v>
      </c>
      <c r="D20" s="114">
        <f t="shared" si="4"/>
        <v>5359</v>
      </c>
      <c r="E20" s="113">
        <f t="shared" si="4"/>
        <v>5165</v>
      </c>
      <c r="F20" s="115">
        <f t="shared" si="4"/>
        <v>7049</v>
      </c>
      <c r="G20" s="113">
        <f t="shared" si="4"/>
        <v>5956</v>
      </c>
      <c r="H20" s="113">
        <f t="shared" si="4"/>
        <v>6409</v>
      </c>
      <c r="I20" s="113">
        <f t="shared" si="4"/>
        <v>7596</v>
      </c>
      <c r="J20" s="113">
        <f t="shared" si="4"/>
        <v>7770</v>
      </c>
      <c r="K20" s="116">
        <f t="shared" si="4"/>
        <v>8510</v>
      </c>
      <c r="L20" s="113">
        <f t="shared" si="4"/>
        <v>6692</v>
      </c>
      <c r="M20" s="113">
        <f t="shared" si="4"/>
        <v>5985</v>
      </c>
      <c r="N20" s="113">
        <f t="shared" si="4"/>
        <v>7808</v>
      </c>
      <c r="O20" s="117">
        <f t="shared" si="4"/>
        <v>7499</v>
      </c>
      <c r="P20" s="117">
        <f t="shared" si="4"/>
        <v>8880</v>
      </c>
      <c r="Q20" s="309">
        <f t="shared" si="4"/>
        <v>7847</v>
      </c>
      <c r="R20" s="117">
        <f t="shared" si="4"/>
        <v>7409</v>
      </c>
      <c r="S20" s="309">
        <f>SUM(S17:S19)</f>
        <v>6099.418</v>
      </c>
      <c r="T20" s="595">
        <v>7822.9529999999995</v>
      </c>
      <c r="U20" s="595">
        <f>SUM(U17:U19)</f>
        <v>7822.9529999999995</v>
      </c>
      <c r="V20" s="651">
        <f>(U20-T20)/T20</f>
        <v>0</v>
      </c>
      <c r="W20" s="651">
        <f>(U20-S20)/S20</f>
        <v>0.2825736816201152</v>
      </c>
    </row>
    <row r="21" spans="1:23" s="1" customFormat="1" ht="12.75">
      <c r="A21" s="261"/>
      <c r="B21" s="45"/>
      <c r="C21" s="234"/>
      <c r="D21" s="235"/>
      <c r="E21" s="234"/>
      <c r="F21" s="236"/>
      <c r="G21" s="234"/>
      <c r="H21" s="234"/>
      <c r="I21" s="234"/>
      <c r="J21" s="234"/>
      <c r="K21" s="237"/>
      <c r="L21" s="238"/>
      <c r="M21" s="238"/>
      <c r="N21" s="238"/>
      <c r="O21" s="239"/>
      <c r="P21" s="239"/>
      <c r="Q21" s="310"/>
      <c r="R21" s="239"/>
      <c r="S21" s="310"/>
      <c r="T21" s="596"/>
      <c r="U21" s="596"/>
      <c r="V21" s="651"/>
      <c r="W21" s="651"/>
    </row>
    <row r="22" spans="1:23" ht="12.75">
      <c r="A22" s="261"/>
      <c r="B22" s="24" t="s">
        <v>34</v>
      </c>
      <c r="C22" s="125"/>
      <c r="D22" s="98"/>
      <c r="E22" s="97"/>
      <c r="F22" s="99"/>
      <c r="G22" s="100"/>
      <c r="H22" s="100"/>
      <c r="I22" s="100"/>
      <c r="J22" s="100"/>
      <c r="K22" s="101"/>
      <c r="L22" s="100"/>
      <c r="M22" s="100"/>
      <c r="N22" s="100"/>
      <c r="O22" s="105"/>
      <c r="P22" s="105"/>
      <c r="Q22" s="307"/>
      <c r="R22" s="105">
        <v>0</v>
      </c>
      <c r="S22" s="690">
        <v>0</v>
      </c>
      <c r="T22" s="593">
        <v>0</v>
      </c>
      <c r="U22" s="593">
        <v>0</v>
      </c>
      <c r="V22" s="651"/>
      <c r="W22" s="651"/>
    </row>
    <row r="23" spans="2:23" ht="12.75">
      <c r="B23" s="23" t="s">
        <v>12</v>
      </c>
      <c r="C23" s="97"/>
      <c r="D23" s="98"/>
      <c r="E23" s="97"/>
      <c r="F23" s="99"/>
      <c r="G23" s="100"/>
      <c r="H23" s="100"/>
      <c r="I23" s="100"/>
      <c r="J23" s="100"/>
      <c r="K23" s="101"/>
      <c r="L23" s="100"/>
      <c r="M23" s="100"/>
      <c r="N23" s="100"/>
      <c r="O23" s="105"/>
      <c r="P23" s="105"/>
      <c r="Q23" s="307"/>
      <c r="R23" s="105"/>
      <c r="S23" s="690"/>
      <c r="T23" s="593"/>
      <c r="U23" s="593"/>
      <c r="V23" s="651"/>
      <c r="W23" s="651"/>
    </row>
    <row r="24" spans="2:23" ht="12.75">
      <c r="B24" s="23" t="s">
        <v>86</v>
      </c>
      <c r="C24" s="97">
        <v>3316</v>
      </c>
      <c r="D24" s="98">
        <v>3255</v>
      </c>
      <c r="E24" s="97">
        <v>3235</v>
      </c>
      <c r="F24" s="99">
        <v>3377</v>
      </c>
      <c r="G24" s="100">
        <v>3630</v>
      </c>
      <c r="H24" s="100">
        <v>3459</v>
      </c>
      <c r="I24" s="100">
        <v>3467</v>
      </c>
      <c r="J24" s="100">
        <v>3478</v>
      </c>
      <c r="K24" s="101">
        <v>3559</v>
      </c>
      <c r="L24" s="100">
        <v>3526</v>
      </c>
      <c r="M24" s="100">
        <v>3552</v>
      </c>
      <c r="N24" s="100">
        <v>4198</v>
      </c>
      <c r="O24" s="105">
        <v>4125</v>
      </c>
      <c r="P24" s="105">
        <v>4157</v>
      </c>
      <c r="Q24" s="307">
        <v>4119</v>
      </c>
      <c r="R24" s="105">
        <v>4095</v>
      </c>
      <c r="S24" s="690">
        <v>4118.448</v>
      </c>
      <c r="T24" s="593">
        <v>4300</v>
      </c>
      <c r="U24" s="593">
        <v>4300</v>
      </c>
      <c r="V24" s="651">
        <f>(U24-T24)/T24</f>
        <v>0</v>
      </c>
      <c r="W24" s="651">
        <f>(U24-S24)/S24</f>
        <v>0.04408262529962735</v>
      </c>
    </row>
    <row r="25" spans="2:23" ht="12.75">
      <c r="B25" s="23" t="s">
        <v>85</v>
      </c>
      <c r="C25" s="97">
        <v>268</v>
      </c>
      <c r="D25" s="98">
        <v>331</v>
      </c>
      <c r="E25" s="97">
        <v>452</v>
      </c>
      <c r="F25" s="99">
        <v>783</v>
      </c>
      <c r="G25" s="100">
        <v>446</v>
      </c>
      <c r="H25" s="100">
        <v>105</v>
      </c>
      <c r="I25" s="100">
        <v>641</v>
      </c>
      <c r="J25" s="100">
        <v>733</v>
      </c>
      <c r="K25" s="101">
        <v>543</v>
      </c>
      <c r="L25" s="100">
        <v>787</v>
      </c>
      <c r="M25" s="100">
        <v>1142</v>
      </c>
      <c r="N25" s="100">
        <v>772</v>
      </c>
      <c r="O25" s="105">
        <v>362</v>
      </c>
      <c r="P25" s="105">
        <v>1658</v>
      </c>
      <c r="Q25" s="307">
        <v>1202</v>
      </c>
      <c r="R25" s="105">
        <v>904</v>
      </c>
      <c r="S25" s="690">
        <v>651.925</v>
      </c>
      <c r="T25" s="593">
        <v>1129.8</v>
      </c>
      <c r="U25" s="593">
        <v>1300</v>
      </c>
      <c r="V25" s="651">
        <f>(U25-T25)/T25</f>
        <v>0.1506461320587715</v>
      </c>
      <c r="W25" s="651">
        <f>(U25-S25)/S25</f>
        <v>0.9940944127008476</v>
      </c>
    </row>
    <row r="26" spans="2:23" ht="12.75">
      <c r="B26" s="23" t="s">
        <v>15</v>
      </c>
      <c r="C26" s="97">
        <f>C24+C25</f>
        <v>3584</v>
      </c>
      <c r="D26" s="98">
        <v>3586</v>
      </c>
      <c r="E26" s="97">
        <f aca="true" t="shared" si="5" ref="E26:J26">(E24+E25)</f>
        <v>3687</v>
      </c>
      <c r="F26" s="99">
        <f t="shared" si="5"/>
        <v>4160</v>
      </c>
      <c r="G26" s="97">
        <f t="shared" si="5"/>
        <v>4076</v>
      </c>
      <c r="H26" s="97">
        <f t="shared" si="5"/>
        <v>3564</v>
      </c>
      <c r="I26" s="125">
        <f t="shared" si="5"/>
        <v>4108</v>
      </c>
      <c r="J26" s="125">
        <f t="shared" si="5"/>
        <v>4211</v>
      </c>
      <c r="K26" s="126">
        <f aca="true" t="shared" si="6" ref="K26:P26">(K24+K25)</f>
        <v>4102</v>
      </c>
      <c r="L26" s="125">
        <f t="shared" si="6"/>
        <v>4313</v>
      </c>
      <c r="M26" s="125">
        <f t="shared" si="6"/>
        <v>4694</v>
      </c>
      <c r="N26" s="125">
        <f t="shared" si="6"/>
        <v>4970</v>
      </c>
      <c r="O26" s="127">
        <f t="shared" si="6"/>
        <v>4487</v>
      </c>
      <c r="P26" s="127">
        <f t="shared" si="6"/>
        <v>5815</v>
      </c>
      <c r="Q26" s="311">
        <f>(Q24+Q25)</f>
        <v>5321</v>
      </c>
      <c r="R26" s="127">
        <f>(R24+R25)</f>
        <v>4999</v>
      </c>
      <c r="S26" s="311">
        <f>(S24+S25)</f>
        <v>4770.3730000000005</v>
      </c>
      <c r="T26" s="597">
        <v>5429.8</v>
      </c>
      <c r="U26" s="597">
        <f>(U24+U25)</f>
        <v>5600</v>
      </c>
      <c r="V26" s="651">
        <f>(U26-T26)/T26</f>
        <v>0.03134553758886143</v>
      </c>
      <c r="W26" s="651">
        <f>(U26-S26)/S26</f>
        <v>0.17391239636816647</v>
      </c>
    </row>
    <row r="27" spans="2:23" ht="12.75">
      <c r="B27" s="23" t="s">
        <v>78</v>
      </c>
      <c r="C27" s="97"/>
      <c r="D27" s="98"/>
      <c r="E27" s="97"/>
      <c r="F27" s="99"/>
      <c r="G27" s="97"/>
      <c r="H27" s="97"/>
      <c r="I27" s="125"/>
      <c r="J27" s="125"/>
      <c r="K27" s="126"/>
      <c r="L27" s="125"/>
      <c r="M27" s="125"/>
      <c r="N27" s="125"/>
      <c r="O27" s="127"/>
      <c r="P27" s="127"/>
      <c r="Q27" s="311"/>
      <c r="R27" s="127"/>
      <c r="S27" s="311"/>
      <c r="T27" s="597"/>
      <c r="U27" s="597"/>
      <c r="V27" s="651"/>
      <c r="W27" s="651"/>
    </row>
    <row r="28" spans="2:23" ht="12.75">
      <c r="B28" s="23" t="s">
        <v>16</v>
      </c>
      <c r="C28" s="97"/>
      <c r="D28" s="98"/>
      <c r="E28" s="97"/>
      <c r="F28" s="99">
        <v>182</v>
      </c>
      <c r="G28" s="100">
        <v>126</v>
      </c>
      <c r="H28" s="100">
        <v>115</v>
      </c>
      <c r="I28" s="100">
        <v>104</v>
      </c>
      <c r="J28" s="100">
        <v>102</v>
      </c>
      <c r="K28" s="101">
        <v>84</v>
      </c>
      <c r="L28" s="100">
        <v>72</v>
      </c>
      <c r="M28" s="100">
        <v>57</v>
      </c>
      <c r="N28" s="100">
        <v>62</v>
      </c>
      <c r="O28" s="105">
        <v>68</v>
      </c>
      <c r="P28" s="105">
        <v>56</v>
      </c>
      <c r="Q28" s="307">
        <v>53</v>
      </c>
      <c r="R28" s="105">
        <v>48</v>
      </c>
      <c r="S28" s="690">
        <v>38.301</v>
      </c>
      <c r="T28" s="593">
        <v>60</v>
      </c>
      <c r="U28" s="593">
        <v>60</v>
      </c>
      <c r="V28" s="651">
        <f>(U28-T28)/T28</f>
        <v>0</v>
      </c>
      <c r="W28" s="651">
        <f>(U28-S28)/S28</f>
        <v>0.5665387326701652</v>
      </c>
    </row>
    <row r="29" spans="2:23" ht="12.75">
      <c r="B29" s="23" t="s">
        <v>88</v>
      </c>
      <c r="C29" s="97">
        <v>87</v>
      </c>
      <c r="D29" s="98">
        <v>0</v>
      </c>
      <c r="E29" s="97">
        <v>0</v>
      </c>
      <c r="F29" s="99">
        <v>349</v>
      </c>
      <c r="G29" s="100">
        <v>164</v>
      </c>
      <c r="H29" s="128">
        <v>144</v>
      </c>
      <c r="I29" s="100">
        <v>144</v>
      </c>
      <c r="J29" s="100">
        <v>107</v>
      </c>
      <c r="K29" s="101">
        <v>101</v>
      </c>
      <c r="L29" s="100">
        <v>112</v>
      </c>
      <c r="M29" s="100">
        <v>107</v>
      </c>
      <c r="N29" s="100">
        <v>111</v>
      </c>
      <c r="O29" s="105">
        <v>81</v>
      </c>
      <c r="P29" s="105">
        <v>108</v>
      </c>
      <c r="Q29" s="307">
        <v>46</v>
      </c>
      <c r="R29" s="105">
        <v>36</v>
      </c>
      <c r="S29" s="690">
        <v>32.409</v>
      </c>
      <c r="T29" s="593">
        <v>40</v>
      </c>
      <c r="U29" s="593">
        <v>57</v>
      </c>
      <c r="V29" s="651">
        <f>(U29-T29)/T29</f>
        <v>0.425</v>
      </c>
      <c r="W29" s="651">
        <f>(U29-S29)/S29</f>
        <v>0.758770711839304</v>
      </c>
    </row>
    <row r="30" spans="2:23" ht="12.75">
      <c r="B30" s="23" t="s">
        <v>89</v>
      </c>
      <c r="C30" s="97"/>
      <c r="D30" s="98">
        <v>0</v>
      </c>
      <c r="E30" s="97">
        <v>222</v>
      </c>
      <c r="F30" s="99">
        <v>96</v>
      </c>
      <c r="G30" s="100">
        <v>64</v>
      </c>
      <c r="H30" s="128">
        <v>40</v>
      </c>
      <c r="I30" s="100">
        <v>76</v>
      </c>
      <c r="J30" s="100">
        <v>181</v>
      </c>
      <c r="K30" s="101">
        <v>71</v>
      </c>
      <c r="L30" s="100">
        <v>80</v>
      </c>
      <c r="M30" s="100">
        <v>69</v>
      </c>
      <c r="N30" s="100">
        <v>45</v>
      </c>
      <c r="O30" s="105">
        <v>62</v>
      </c>
      <c r="P30" s="105">
        <v>189</v>
      </c>
      <c r="Q30" s="307">
        <v>126</v>
      </c>
      <c r="R30" s="105">
        <v>95</v>
      </c>
      <c r="S30" s="690">
        <v>43</v>
      </c>
      <c r="T30" s="593">
        <v>60</v>
      </c>
      <c r="U30" s="593">
        <v>60</v>
      </c>
      <c r="V30" s="651">
        <f>(U30-T30)/T30</f>
        <v>0</v>
      </c>
      <c r="W30" s="651">
        <f>(U30-S30)/S30</f>
        <v>0.3953488372093023</v>
      </c>
    </row>
    <row r="31" spans="2:23" ht="12.75">
      <c r="B31" s="23" t="s">
        <v>90</v>
      </c>
      <c r="C31" s="97">
        <v>-98</v>
      </c>
      <c r="D31" s="98">
        <v>-17</v>
      </c>
      <c r="E31" s="97">
        <v>53</v>
      </c>
      <c r="F31" s="99">
        <v>128</v>
      </c>
      <c r="G31" s="100">
        <v>155</v>
      </c>
      <c r="H31" s="128">
        <v>11</v>
      </c>
      <c r="I31" s="100">
        <v>-28</v>
      </c>
      <c r="J31" s="100">
        <v>55</v>
      </c>
      <c r="K31" s="101">
        <v>8</v>
      </c>
      <c r="L31" s="100">
        <v>5</v>
      </c>
      <c r="M31" s="100">
        <v>9</v>
      </c>
      <c r="N31" s="100">
        <v>-105</v>
      </c>
      <c r="O31" s="105">
        <v>-31</v>
      </c>
      <c r="P31" s="105">
        <v>-21</v>
      </c>
      <c r="Q31" s="307">
        <v>-11</v>
      </c>
      <c r="R31" s="105">
        <v>30</v>
      </c>
      <c r="S31" s="690">
        <v>-67.906</v>
      </c>
      <c r="T31" s="593">
        <v>15</v>
      </c>
      <c r="U31" s="593">
        <v>15</v>
      </c>
      <c r="V31" s="651"/>
      <c r="W31" s="651"/>
    </row>
    <row r="32" spans="2:23" ht="12.75">
      <c r="B32" s="23" t="s">
        <v>15</v>
      </c>
      <c r="C32" s="312">
        <f aca="true" t="shared" si="7" ref="C32:R32">SUM(C28:C31)</f>
        <v>-11</v>
      </c>
      <c r="D32" s="312">
        <f t="shared" si="7"/>
        <v>-17</v>
      </c>
      <c r="E32" s="312">
        <f t="shared" si="7"/>
        <v>275</v>
      </c>
      <c r="F32" s="312">
        <f t="shared" si="7"/>
        <v>755</v>
      </c>
      <c r="G32" s="312">
        <f t="shared" si="7"/>
        <v>509</v>
      </c>
      <c r="H32" s="312">
        <f t="shared" si="7"/>
        <v>310</v>
      </c>
      <c r="I32" s="312">
        <f t="shared" si="7"/>
        <v>296</v>
      </c>
      <c r="J32" s="312">
        <f t="shared" si="7"/>
        <v>445</v>
      </c>
      <c r="K32" s="312">
        <f t="shared" si="7"/>
        <v>264</v>
      </c>
      <c r="L32" s="312">
        <f t="shared" si="7"/>
        <v>269</v>
      </c>
      <c r="M32" s="312">
        <f t="shared" si="7"/>
        <v>242</v>
      </c>
      <c r="N32" s="312">
        <f t="shared" si="7"/>
        <v>113</v>
      </c>
      <c r="O32" s="312">
        <f t="shared" si="7"/>
        <v>180</v>
      </c>
      <c r="P32" s="312">
        <f t="shared" si="7"/>
        <v>332</v>
      </c>
      <c r="Q32" s="312">
        <f t="shared" si="7"/>
        <v>214</v>
      </c>
      <c r="R32" s="129">
        <f t="shared" si="7"/>
        <v>209</v>
      </c>
      <c r="S32" s="692">
        <f>SUM(S28:S31)</f>
        <v>45.804</v>
      </c>
      <c r="T32" s="598">
        <v>175</v>
      </c>
      <c r="U32" s="598">
        <f>SUM(U28:U31)</f>
        <v>192</v>
      </c>
      <c r="V32" s="651">
        <f>(U32-T32)/T32</f>
        <v>0.09714285714285714</v>
      </c>
      <c r="W32" s="651">
        <f>(U32-S32)/S32</f>
        <v>3.1917736442232116</v>
      </c>
    </row>
    <row r="33" spans="2:23" ht="12.75">
      <c r="B33" s="23" t="s">
        <v>35</v>
      </c>
      <c r="C33" s="97">
        <f aca="true" t="shared" si="8" ref="C33:R33">(C26+C32)</f>
        <v>3573</v>
      </c>
      <c r="D33" s="98">
        <f t="shared" si="8"/>
        <v>3569</v>
      </c>
      <c r="E33" s="97">
        <f t="shared" si="8"/>
        <v>3962</v>
      </c>
      <c r="F33" s="99">
        <f t="shared" si="8"/>
        <v>4915</v>
      </c>
      <c r="G33" s="97">
        <f t="shared" si="8"/>
        <v>4585</v>
      </c>
      <c r="H33" s="97">
        <f t="shared" si="8"/>
        <v>3874</v>
      </c>
      <c r="I33" s="125">
        <f t="shared" si="8"/>
        <v>4404</v>
      </c>
      <c r="J33" s="125">
        <f t="shared" si="8"/>
        <v>4656</v>
      </c>
      <c r="K33" s="126">
        <f t="shared" si="8"/>
        <v>4366</v>
      </c>
      <c r="L33" s="125">
        <f t="shared" si="8"/>
        <v>4582</v>
      </c>
      <c r="M33" s="125">
        <f t="shared" si="8"/>
        <v>4936</v>
      </c>
      <c r="N33" s="125">
        <f t="shared" si="8"/>
        <v>5083</v>
      </c>
      <c r="O33" s="125">
        <f t="shared" si="8"/>
        <v>4667</v>
      </c>
      <c r="P33" s="125">
        <f t="shared" si="8"/>
        <v>6147</v>
      </c>
      <c r="Q33" s="311">
        <f t="shared" si="8"/>
        <v>5535</v>
      </c>
      <c r="R33" s="127">
        <f t="shared" si="8"/>
        <v>5208</v>
      </c>
      <c r="S33" s="311">
        <f>(S26+S32)</f>
        <v>4816.177000000001</v>
      </c>
      <c r="T33" s="597">
        <v>5604.8</v>
      </c>
      <c r="U33" s="597">
        <f>(U26+U32)</f>
        <v>5792</v>
      </c>
      <c r="V33" s="651">
        <f>(U33-T33)/T33</f>
        <v>0.03339994290608047</v>
      </c>
      <c r="W33" s="651">
        <f>(U33-S33)/S33</f>
        <v>0.20261360826232078</v>
      </c>
    </row>
    <row r="34" spans="2:23" ht="12.75">
      <c r="B34" s="23" t="s">
        <v>17</v>
      </c>
      <c r="C34" s="97"/>
      <c r="D34" s="98"/>
      <c r="E34" s="97"/>
      <c r="F34" s="99"/>
      <c r="G34" s="100"/>
      <c r="H34" s="100"/>
      <c r="I34" s="100"/>
      <c r="J34" s="100"/>
      <c r="K34" s="101"/>
      <c r="L34" s="100"/>
      <c r="M34" s="100"/>
      <c r="N34" s="100"/>
      <c r="O34" s="105"/>
      <c r="P34" s="105"/>
      <c r="Q34" s="307"/>
      <c r="R34" s="105"/>
      <c r="S34" s="690"/>
      <c r="T34" s="593"/>
      <c r="U34" s="593"/>
      <c r="V34" s="651"/>
      <c r="W34" s="651"/>
    </row>
    <row r="35" spans="2:23" ht="12.75">
      <c r="B35" s="23" t="s">
        <v>24</v>
      </c>
      <c r="C35" s="97"/>
      <c r="D35" s="98"/>
      <c r="E35" s="97">
        <v>97</v>
      </c>
      <c r="F35" s="99">
        <v>54</v>
      </c>
      <c r="G35" s="100">
        <v>52</v>
      </c>
      <c r="H35" s="100">
        <v>73</v>
      </c>
      <c r="I35" s="130">
        <v>65</v>
      </c>
      <c r="J35" s="130">
        <v>44</v>
      </c>
      <c r="K35" s="101">
        <v>58</v>
      </c>
      <c r="L35" s="100">
        <v>20</v>
      </c>
      <c r="M35" s="100">
        <v>31</v>
      </c>
      <c r="N35" s="100">
        <v>66</v>
      </c>
      <c r="O35" s="105">
        <v>62</v>
      </c>
      <c r="P35" s="105">
        <v>75</v>
      </c>
      <c r="Q35" s="307">
        <v>60</v>
      </c>
      <c r="R35" s="105">
        <v>68</v>
      </c>
      <c r="S35" s="690">
        <v>82.877</v>
      </c>
      <c r="T35" s="593">
        <v>85</v>
      </c>
      <c r="U35" s="593">
        <v>90</v>
      </c>
      <c r="V35" s="651">
        <f>(U35-T35)/T35</f>
        <v>0.058823529411764705</v>
      </c>
      <c r="W35" s="651">
        <f>(U35-S35)/S35</f>
        <v>0.08594664382156696</v>
      </c>
    </row>
    <row r="36" spans="2:23" ht="12.75">
      <c r="B36" s="23" t="s">
        <v>25</v>
      </c>
      <c r="C36" s="97"/>
      <c r="D36" s="98"/>
      <c r="E36" s="97">
        <v>497</v>
      </c>
      <c r="F36" s="99">
        <v>807</v>
      </c>
      <c r="G36" s="100">
        <v>760</v>
      </c>
      <c r="H36" s="100">
        <v>744</v>
      </c>
      <c r="I36" s="130">
        <v>1004</v>
      </c>
      <c r="J36" s="130">
        <v>668</v>
      </c>
      <c r="K36" s="131">
        <v>1786</v>
      </c>
      <c r="L36" s="46">
        <v>460</v>
      </c>
      <c r="M36" s="46">
        <v>400</v>
      </c>
      <c r="N36" s="132">
        <v>1897</v>
      </c>
      <c r="O36" s="103">
        <v>1408</v>
      </c>
      <c r="P36" s="103">
        <v>1049</v>
      </c>
      <c r="Q36" s="306">
        <v>1734</v>
      </c>
      <c r="R36" s="105">
        <v>1400</v>
      </c>
      <c r="S36" s="690">
        <v>926.046</v>
      </c>
      <c r="T36" s="593">
        <v>550</v>
      </c>
      <c r="U36" s="593">
        <v>520</v>
      </c>
      <c r="V36" s="651">
        <f>(U36-T36)/T36</f>
        <v>-0.05454545454545454</v>
      </c>
      <c r="W36" s="651">
        <f>(U36-S36)/S36</f>
        <v>-0.43847281884485223</v>
      </c>
    </row>
    <row r="37" spans="2:23" ht="13.5" thickBot="1">
      <c r="B37" s="26" t="s">
        <v>26</v>
      </c>
      <c r="C37" s="106">
        <v>1119</v>
      </c>
      <c r="D37" s="133">
        <v>1108</v>
      </c>
      <c r="E37" s="106">
        <f aca="true" t="shared" si="9" ref="E37:J37">(E35+E36)</f>
        <v>594</v>
      </c>
      <c r="F37" s="134">
        <f t="shared" si="9"/>
        <v>861</v>
      </c>
      <c r="G37" s="106">
        <f t="shared" si="9"/>
        <v>812</v>
      </c>
      <c r="H37" s="106">
        <f t="shared" si="9"/>
        <v>817</v>
      </c>
      <c r="I37" s="106">
        <f t="shared" si="9"/>
        <v>1069</v>
      </c>
      <c r="J37" s="106">
        <f t="shared" si="9"/>
        <v>712</v>
      </c>
      <c r="K37" s="135">
        <f aca="true" t="shared" si="10" ref="K37:P37">(K35+K36)</f>
        <v>1844</v>
      </c>
      <c r="L37" s="136">
        <f t="shared" si="10"/>
        <v>480</v>
      </c>
      <c r="M37" s="137">
        <f t="shared" si="10"/>
        <v>431</v>
      </c>
      <c r="N37" s="136">
        <f t="shared" si="10"/>
        <v>1963</v>
      </c>
      <c r="O37" s="138">
        <f t="shared" si="10"/>
        <v>1470</v>
      </c>
      <c r="P37" s="138">
        <f t="shared" si="10"/>
        <v>1124</v>
      </c>
      <c r="Q37" s="313">
        <f>(Q35+Q36)</f>
        <v>1794</v>
      </c>
      <c r="R37" s="138">
        <f>(R35+R36)</f>
        <v>1468</v>
      </c>
      <c r="S37" s="693">
        <f>(S35+S36)</f>
        <v>1008.923</v>
      </c>
      <c r="T37" s="599">
        <v>635</v>
      </c>
      <c r="U37" s="599">
        <f>(U35+U36)</f>
        <v>610</v>
      </c>
      <c r="V37" s="651">
        <f>(U37-T37)/T37</f>
        <v>-0.03937007874015748</v>
      </c>
      <c r="W37" s="651">
        <f>(U37-S37)/S37</f>
        <v>-0.395394891384179</v>
      </c>
    </row>
    <row r="38" spans="1:23" s="1" customFormat="1" ht="13.5" thickBot="1">
      <c r="A38" s="259"/>
      <c r="B38" s="28" t="s">
        <v>18</v>
      </c>
      <c r="C38" s="113">
        <f aca="true" t="shared" si="11" ref="C38:I38">(C33+C37)</f>
        <v>4692</v>
      </c>
      <c r="D38" s="114">
        <f t="shared" si="11"/>
        <v>4677</v>
      </c>
      <c r="E38" s="113">
        <f t="shared" si="11"/>
        <v>4556</v>
      </c>
      <c r="F38" s="115">
        <f t="shared" si="11"/>
        <v>5776</v>
      </c>
      <c r="G38" s="113">
        <f t="shared" si="11"/>
        <v>5397</v>
      </c>
      <c r="H38" s="113">
        <f t="shared" si="11"/>
        <v>4691</v>
      </c>
      <c r="I38" s="113">
        <f t="shared" si="11"/>
        <v>5473</v>
      </c>
      <c r="J38" s="113">
        <f aca="true" t="shared" si="12" ref="J38:O38">(J33+J37)</f>
        <v>5368</v>
      </c>
      <c r="K38" s="114">
        <f t="shared" si="12"/>
        <v>6210</v>
      </c>
      <c r="L38" s="113">
        <f t="shared" si="12"/>
        <v>5062</v>
      </c>
      <c r="M38" s="113">
        <f t="shared" si="12"/>
        <v>5367</v>
      </c>
      <c r="N38" s="113">
        <f t="shared" si="12"/>
        <v>7046</v>
      </c>
      <c r="O38" s="117">
        <f t="shared" si="12"/>
        <v>6137</v>
      </c>
      <c r="P38" s="117">
        <f aca="true" t="shared" si="13" ref="P38:U38">(P33+P37)</f>
        <v>7271</v>
      </c>
      <c r="Q38" s="309">
        <f t="shared" si="13"/>
        <v>7329</v>
      </c>
      <c r="R38" s="117">
        <f t="shared" si="13"/>
        <v>6676</v>
      </c>
      <c r="S38" s="309">
        <f t="shared" si="13"/>
        <v>5825.1</v>
      </c>
      <c r="T38" s="595">
        <v>6239.8</v>
      </c>
      <c r="U38" s="595">
        <f t="shared" si="13"/>
        <v>6402</v>
      </c>
      <c r="V38" s="651">
        <f>(U38-T38)/T38</f>
        <v>0.025994422898169785</v>
      </c>
      <c r="W38" s="651">
        <f>(U38-S38)/S38</f>
        <v>0.09903692640469684</v>
      </c>
    </row>
    <row r="39" spans="1:23" ht="13.5" thickBot="1">
      <c r="A39" s="261"/>
      <c r="B39" s="29"/>
      <c r="C39" s="139"/>
      <c r="D39" s="140"/>
      <c r="E39" s="139"/>
      <c r="F39" s="141"/>
      <c r="G39" s="142"/>
      <c r="H39" s="142"/>
      <c r="I39" s="142"/>
      <c r="J39" s="142"/>
      <c r="K39" s="143"/>
      <c r="L39" s="142"/>
      <c r="M39" s="142"/>
      <c r="N39" s="142"/>
      <c r="O39" s="144"/>
      <c r="P39" s="144"/>
      <c r="Q39" s="314"/>
      <c r="R39" s="144"/>
      <c r="S39" s="694"/>
      <c r="T39" s="600"/>
      <c r="U39" s="600"/>
      <c r="V39" s="651"/>
      <c r="W39" s="651"/>
    </row>
    <row r="40" spans="1:23" s="1" customFormat="1" ht="13.5" thickBot="1">
      <c r="A40" s="259"/>
      <c r="B40" s="28" t="s">
        <v>19</v>
      </c>
      <c r="C40" s="117">
        <v>1236</v>
      </c>
      <c r="D40" s="117">
        <f>+D18+D17+D19-D38</f>
        <v>682</v>
      </c>
      <c r="E40" s="325">
        <v>604</v>
      </c>
      <c r="F40" s="117">
        <f aca="true" t="shared" si="14" ref="F40:Q40">+F18+F17+F19-F38</f>
        <v>1273</v>
      </c>
      <c r="G40" s="117">
        <f t="shared" si="14"/>
        <v>559</v>
      </c>
      <c r="H40" s="117">
        <f t="shared" si="14"/>
        <v>1718</v>
      </c>
      <c r="I40" s="117">
        <f t="shared" si="14"/>
        <v>2123</v>
      </c>
      <c r="J40" s="117">
        <f t="shared" si="14"/>
        <v>2402</v>
      </c>
      <c r="K40" s="117">
        <f t="shared" si="14"/>
        <v>2300</v>
      </c>
      <c r="L40" s="117">
        <f t="shared" si="14"/>
        <v>1630</v>
      </c>
      <c r="M40" s="117">
        <f t="shared" si="14"/>
        <v>618</v>
      </c>
      <c r="N40" s="117">
        <f t="shared" si="14"/>
        <v>762</v>
      </c>
      <c r="O40" s="117">
        <f t="shared" si="14"/>
        <v>1362</v>
      </c>
      <c r="P40" s="117">
        <f t="shared" si="14"/>
        <v>1609</v>
      </c>
      <c r="Q40" s="117">
        <f t="shared" si="14"/>
        <v>518</v>
      </c>
      <c r="R40" s="117">
        <f>+R9+R17+R19-R38</f>
        <v>756.656</v>
      </c>
      <c r="S40" s="309">
        <f>S20-S38</f>
        <v>274.3179999999993</v>
      </c>
      <c r="T40" s="595">
        <v>1583.1529999999993</v>
      </c>
      <c r="U40" s="595">
        <f>U20-U38</f>
        <v>1420.9529999999995</v>
      </c>
      <c r="V40" s="651">
        <f>(U40-T40)/T40</f>
        <v>-0.10245377420880981</v>
      </c>
      <c r="W40" s="651">
        <f>(U40-S40)/S40</f>
        <v>4.17994808944365</v>
      </c>
    </row>
    <row r="41" spans="1:23" ht="12.75">
      <c r="A41" s="261"/>
      <c r="B41" s="27"/>
      <c r="C41" s="118"/>
      <c r="D41" s="119"/>
      <c r="E41" s="118"/>
      <c r="F41" s="120"/>
      <c r="G41" s="121"/>
      <c r="H41" s="121"/>
      <c r="I41" s="121"/>
      <c r="J41" s="121"/>
      <c r="K41" s="122"/>
      <c r="L41" s="121"/>
      <c r="M41" s="121"/>
      <c r="N41" s="121"/>
      <c r="O41" s="145"/>
      <c r="P41" s="145"/>
      <c r="Q41" s="315"/>
      <c r="R41" s="145"/>
      <c r="S41" s="315"/>
      <c r="T41" s="601"/>
      <c r="U41" s="601"/>
      <c r="V41" s="651"/>
      <c r="W41" s="651"/>
    </row>
    <row r="42" spans="2:23" ht="12.75">
      <c r="B42" s="23" t="s">
        <v>20</v>
      </c>
      <c r="C42" s="97">
        <f aca="true" t="shared" si="15" ref="C42:R42">(C26/12*1.5)</f>
        <v>448</v>
      </c>
      <c r="D42" s="98">
        <f t="shared" si="15"/>
        <v>448.25</v>
      </c>
      <c r="E42" s="97">
        <f t="shared" si="15"/>
        <v>460.875</v>
      </c>
      <c r="F42" s="99">
        <f t="shared" si="15"/>
        <v>520</v>
      </c>
      <c r="G42" s="97">
        <f t="shared" si="15"/>
        <v>509.5</v>
      </c>
      <c r="H42" s="97">
        <f t="shared" si="15"/>
        <v>445.5</v>
      </c>
      <c r="I42" s="97">
        <f t="shared" si="15"/>
        <v>513.5</v>
      </c>
      <c r="J42" s="97">
        <f t="shared" si="15"/>
        <v>526.375</v>
      </c>
      <c r="K42" s="98">
        <f t="shared" si="15"/>
        <v>512.75</v>
      </c>
      <c r="L42" s="97">
        <f t="shared" si="15"/>
        <v>539.125</v>
      </c>
      <c r="M42" s="97">
        <f t="shared" si="15"/>
        <v>586.75</v>
      </c>
      <c r="N42" s="97">
        <f t="shared" si="15"/>
        <v>621.25</v>
      </c>
      <c r="O42" s="129">
        <f t="shared" si="15"/>
        <v>560.875</v>
      </c>
      <c r="P42" s="129">
        <f t="shared" si="15"/>
        <v>726.875</v>
      </c>
      <c r="Q42" s="312">
        <f t="shared" si="15"/>
        <v>665.125</v>
      </c>
      <c r="R42" s="129">
        <f t="shared" si="15"/>
        <v>624.875</v>
      </c>
      <c r="S42" s="692">
        <f>(S26/12*1.5)</f>
        <v>596.2966250000001</v>
      </c>
      <c r="T42" s="598">
        <v>678.725</v>
      </c>
      <c r="U42" s="598">
        <f>(U26/12*1.5)</f>
        <v>700</v>
      </c>
      <c r="V42" s="651">
        <f>(U42-T42)/T42</f>
        <v>0.03134553758886143</v>
      </c>
      <c r="W42" s="651">
        <f>(U42-S42)/S42</f>
        <v>0.17391239636816647</v>
      </c>
    </row>
    <row r="43" spans="2:23" ht="12.75">
      <c r="B43" s="23"/>
      <c r="C43" s="97"/>
      <c r="D43" s="98"/>
      <c r="E43" s="97"/>
      <c r="F43" s="99"/>
      <c r="G43" s="100"/>
      <c r="H43" s="100"/>
      <c r="I43" s="100"/>
      <c r="J43" s="100"/>
      <c r="K43" s="131"/>
      <c r="L43" s="46"/>
      <c r="M43" s="46"/>
      <c r="N43" s="46"/>
      <c r="O43" s="146"/>
      <c r="P43" s="146"/>
      <c r="Q43" s="316"/>
      <c r="R43" s="146"/>
      <c r="S43" s="695"/>
      <c r="T43" s="602"/>
      <c r="U43" s="602"/>
      <c r="V43" s="651"/>
      <c r="W43" s="651"/>
    </row>
    <row r="44" spans="2:23" ht="13.5" thickBot="1">
      <c r="B44" s="25" t="s">
        <v>61</v>
      </c>
      <c r="C44" s="147">
        <f aca="true" t="shared" si="16" ref="C44:O44">+C40-C42</f>
        <v>788</v>
      </c>
      <c r="D44" s="148">
        <f t="shared" si="16"/>
        <v>233.75</v>
      </c>
      <c r="E44" s="147">
        <f t="shared" si="16"/>
        <v>143.125</v>
      </c>
      <c r="F44" s="149">
        <f t="shared" si="16"/>
        <v>753</v>
      </c>
      <c r="G44" s="147">
        <f t="shared" si="16"/>
        <v>49.5</v>
      </c>
      <c r="H44" s="147">
        <f t="shared" si="16"/>
        <v>1272.5</v>
      </c>
      <c r="I44" s="147">
        <f t="shared" si="16"/>
        <v>1609.5</v>
      </c>
      <c r="J44" s="147">
        <f t="shared" si="16"/>
        <v>1875.625</v>
      </c>
      <c r="K44" s="148">
        <f t="shared" si="16"/>
        <v>1787.25</v>
      </c>
      <c r="L44" s="147">
        <f t="shared" si="16"/>
        <v>1090.875</v>
      </c>
      <c r="M44" s="147">
        <f t="shared" si="16"/>
        <v>31.25</v>
      </c>
      <c r="N44" s="147">
        <f t="shared" si="16"/>
        <v>140.75</v>
      </c>
      <c r="O44" s="150">
        <f t="shared" si="16"/>
        <v>801.125</v>
      </c>
      <c r="P44" s="150">
        <f aca="true" t="shared" si="17" ref="P44:U44">+P40-P42</f>
        <v>882.125</v>
      </c>
      <c r="Q44" s="317">
        <f t="shared" si="17"/>
        <v>-147.125</v>
      </c>
      <c r="R44" s="150">
        <f t="shared" si="17"/>
        <v>131.78099999999995</v>
      </c>
      <c r="S44" s="696">
        <f t="shared" si="17"/>
        <v>-321.97862500000076</v>
      </c>
      <c r="T44" s="603">
        <v>904.4279999999993</v>
      </c>
      <c r="U44" s="603">
        <f t="shared" si="17"/>
        <v>720.9529999999995</v>
      </c>
      <c r="V44" s="651">
        <f>(U44-T44)/T44</f>
        <v>-0.2028630250279734</v>
      </c>
      <c r="W44" s="651">
        <f>(U44-S44)/S44</f>
        <v>-3.2391331101559855</v>
      </c>
    </row>
    <row r="45" spans="2:23" ht="13.5" thickBot="1">
      <c r="B45" s="1"/>
      <c r="C45" s="11"/>
      <c r="E45" s="11"/>
      <c r="F45" s="11"/>
      <c r="G45" s="36"/>
      <c r="H45" s="36"/>
      <c r="I45" s="15"/>
      <c r="J45" s="15"/>
      <c r="O45" s="63"/>
      <c r="P45" s="63"/>
      <c r="Q45" s="63"/>
      <c r="R45" s="63"/>
      <c r="S45" s="433"/>
      <c r="T45" s="433"/>
      <c r="U45" s="433"/>
      <c r="V45" s="517"/>
      <c r="W45" s="517"/>
    </row>
    <row r="46" spans="2:23" ht="12.75">
      <c r="B46" s="510" t="s">
        <v>82</v>
      </c>
      <c r="C46" s="511">
        <f>C40/C33</f>
        <v>0.3459277917716205</v>
      </c>
      <c r="D46" s="511">
        <f aca="true" t="shared" si="18" ref="D46:K46">D40/D33</f>
        <v>0.19108994115998879</v>
      </c>
      <c r="E46" s="511">
        <f t="shared" si="18"/>
        <v>0.15244825845532559</v>
      </c>
      <c r="F46" s="511">
        <f t="shared" si="18"/>
        <v>0.2590030518819939</v>
      </c>
      <c r="G46" s="511">
        <f t="shared" si="18"/>
        <v>0.12191930207197382</v>
      </c>
      <c r="H46" s="511">
        <f t="shared" si="18"/>
        <v>0.4434692823954569</v>
      </c>
      <c r="I46" s="511">
        <f t="shared" si="18"/>
        <v>0.48206176203451406</v>
      </c>
      <c r="J46" s="511">
        <f t="shared" si="18"/>
        <v>0.5158934707903781</v>
      </c>
      <c r="K46" s="511">
        <f t="shared" si="18"/>
        <v>0.5267979844251031</v>
      </c>
      <c r="L46" s="511">
        <f aca="true" t="shared" si="19" ref="L46:Q46">L40/L33</f>
        <v>0.35573985159319077</v>
      </c>
      <c r="M46" s="511">
        <f t="shared" si="19"/>
        <v>0.12520259319286872</v>
      </c>
      <c r="N46" s="511">
        <f t="shared" si="19"/>
        <v>0.14991146960456422</v>
      </c>
      <c r="O46" s="512">
        <f t="shared" si="19"/>
        <v>0.291836297407328</v>
      </c>
      <c r="P46" s="512">
        <f t="shared" si="19"/>
        <v>0.261753700992354</v>
      </c>
      <c r="Q46" s="513">
        <f t="shared" si="19"/>
        <v>0.09358626919602529</v>
      </c>
      <c r="R46" s="512">
        <f>R40/R33</f>
        <v>0.14528725038402457</v>
      </c>
      <c r="S46" s="513">
        <f>S40/S33</f>
        <v>0.056957624273360236</v>
      </c>
      <c r="T46" s="604">
        <v>0.2824637810448186</v>
      </c>
      <c r="U46" s="604">
        <f>U40/U33</f>
        <v>0.24533028314917119</v>
      </c>
      <c r="V46" s="653">
        <f>(U46-T46)/T46</f>
        <v>-0.13146286493189527</v>
      </c>
      <c r="W46" s="653">
        <f>(U46-S46)/S46</f>
        <v>3.3072422046913763</v>
      </c>
    </row>
    <row r="47" spans="2:23" ht="26.25" thickBot="1">
      <c r="B47" s="498" t="s">
        <v>74</v>
      </c>
      <c r="C47" s="514">
        <f aca="true" t="shared" si="20" ref="C47:I47">C40/C38</f>
        <v>0.26342710997442453</v>
      </c>
      <c r="D47" s="514">
        <f t="shared" si="20"/>
        <v>0.1458199700662818</v>
      </c>
      <c r="E47" s="514">
        <f t="shared" si="20"/>
        <v>0.13257243195785778</v>
      </c>
      <c r="F47" s="514">
        <f t="shared" si="20"/>
        <v>0.22039473684210525</v>
      </c>
      <c r="G47" s="514">
        <f t="shared" si="20"/>
        <v>0.10357606077450436</v>
      </c>
      <c r="H47" s="514">
        <f t="shared" si="20"/>
        <v>0.3662332125346408</v>
      </c>
      <c r="I47" s="514">
        <f t="shared" si="20"/>
        <v>0.3879042572629271</v>
      </c>
      <c r="J47" s="514">
        <f aca="true" t="shared" si="21" ref="J47:O47">J40/J38</f>
        <v>0.4474664679582712</v>
      </c>
      <c r="K47" s="514">
        <f t="shared" si="21"/>
        <v>0.37037037037037035</v>
      </c>
      <c r="L47" s="514">
        <f t="shared" si="21"/>
        <v>0.32200711181351244</v>
      </c>
      <c r="M47" s="514">
        <f t="shared" si="21"/>
        <v>0.11514812744550028</v>
      </c>
      <c r="N47" s="514">
        <f t="shared" si="21"/>
        <v>0.10814646608004541</v>
      </c>
      <c r="O47" s="515">
        <f t="shared" si="21"/>
        <v>0.22193254032915105</v>
      </c>
      <c r="P47" s="515">
        <f aca="true" t="shared" si="22" ref="P47:U47">P40/P38</f>
        <v>0.22129005638839225</v>
      </c>
      <c r="Q47" s="516">
        <f t="shared" si="22"/>
        <v>0.07067812798471824</v>
      </c>
      <c r="R47" s="515">
        <f t="shared" si="22"/>
        <v>0.11333972438585979</v>
      </c>
      <c r="S47" s="516">
        <f t="shared" si="22"/>
        <v>0.0470924104307221</v>
      </c>
      <c r="T47" s="605">
        <v>0.2537185486714317</v>
      </c>
      <c r="U47" s="605">
        <f t="shared" si="22"/>
        <v>0.22195454545454538</v>
      </c>
      <c r="V47" s="652">
        <f>(U47-T47)/T47</f>
        <v>-0.12519385509342887</v>
      </c>
      <c r="W47" s="652">
        <f>(U47-S47)/S47</f>
        <v>3.7131701992843182</v>
      </c>
    </row>
    <row r="48" spans="2:23" ht="12.75">
      <c r="B48" s="536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1"/>
      <c r="P48" s="531"/>
      <c r="Q48" s="532"/>
      <c r="R48" s="531"/>
      <c r="S48" s="531"/>
      <c r="T48" s="531"/>
      <c r="U48" s="519"/>
      <c r="V48" s="519"/>
      <c r="W48" s="521"/>
    </row>
    <row r="49" spans="2:23" ht="12.75">
      <c r="B49" s="51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19"/>
      <c r="P49" s="519"/>
      <c r="Q49" s="520"/>
      <c r="R49" s="519"/>
      <c r="S49" s="519"/>
      <c r="T49" s="519"/>
      <c r="U49" s="519"/>
      <c r="V49" s="519"/>
      <c r="W49" s="521"/>
    </row>
    <row r="50" spans="2:23" ht="12.75">
      <c r="B50" s="51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19"/>
      <c r="P50" s="519"/>
      <c r="Q50" s="520"/>
      <c r="R50" s="519"/>
      <c r="S50" s="519"/>
      <c r="T50" s="519"/>
      <c r="U50" s="519"/>
      <c r="V50" s="519"/>
      <c r="W50" s="521"/>
    </row>
    <row r="51" spans="2:14" ht="12.75">
      <c r="B51" s="58" t="s">
        <v>110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ht="12.75">
      <c r="B52" s="58" t="s">
        <v>109</v>
      </c>
      <c r="C52" s="39"/>
      <c r="D52" s="39"/>
      <c r="E52" s="39"/>
      <c r="F52" s="321"/>
      <c r="G52" s="321"/>
      <c r="H52" s="39"/>
      <c r="I52" s="39"/>
      <c r="J52" s="39"/>
      <c r="K52" s="39"/>
      <c r="L52" s="39"/>
      <c r="M52" s="39"/>
      <c r="N52" s="39"/>
    </row>
    <row r="53" spans="2:14" ht="12.75">
      <c r="B53" s="58"/>
      <c r="C53" s="39"/>
      <c r="D53" s="39"/>
      <c r="E53" s="39"/>
      <c r="F53" s="321"/>
      <c r="G53" s="321"/>
      <c r="H53" s="39"/>
      <c r="I53" s="39"/>
      <c r="J53" s="39"/>
      <c r="K53" s="39"/>
      <c r="L53" s="39"/>
      <c r="M53" s="39"/>
      <c r="N53" s="39"/>
    </row>
    <row r="54" spans="2:14" ht="12.75">
      <c r="B54" s="38" t="s">
        <v>68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12.75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23" s="301" customFormat="1" ht="0.75" customHeight="1">
      <c r="A56" s="507"/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W56" s="508"/>
    </row>
    <row r="57" spans="1:17" ht="52.5" customHeight="1">
      <c r="A57" s="259">
        <v>1</v>
      </c>
      <c r="B57" s="770" t="s">
        <v>154</v>
      </c>
      <c r="C57" s="770"/>
      <c r="D57" s="770"/>
      <c r="E57" s="770"/>
      <c r="F57" s="770"/>
      <c r="G57" s="770"/>
      <c r="H57" s="770"/>
      <c r="I57" s="770"/>
      <c r="J57" s="770"/>
      <c r="K57" s="770"/>
      <c r="L57" s="770"/>
      <c r="M57" s="770"/>
      <c r="N57" s="770"/>
      <c r="O57" s="770"/>
      <c r="P57" s="770"/>
      <c r="Q57" s="770"/>
    </row>
    <row r="58" spans="2:17" ht="12.75">
      <c r="B58" s="421" t="s">
        <v>38</v>
      </c>
      <c r="C58" s="11"/>
      <c r="D58" s="422"/>
      <c r="E58" s="422"/>
      <c r="F58" s="422"/>
      <c r="G58" s="423"/>
      <c r="H58" s="423"/>
      <c r="I58" s="424"/>
      <c r="J58" s="424"/>
      <c r="K58" s="425"/>
      <c r="L58" s="421"/>
      <c r="M58" s="421"/>
      <c r="N58" s="421"/>
      <c r="O58" s="421"/>
      <c r="P58" s="421"/>
      <c r="Q58" s="421"/>
    </row>
    <row r="59" spans="2:17" ht="0.75" customHeight="1">
      <c r="B59" s="771"/>
      <c r="C59" s="771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71"/>
      <c r="P59" s="771"/>
      <c r="Q59" s="771"/>
    </row>
    <row r="60" spans="1:17" ht="27.75" customHeight="1">
      <c r="A60" s="259">
        <v>2</v>
      </c>
      <c r="B60" s="771" t="s">
        <v>140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</row>
    <row r="61" spans="2:17" ht="12.75">
      <c r="B61" s="421"/>
      <c r="C61" s="11"/>
      <c r="D61" s="422"/>
      <c r="E61" s="422"/>
      <c r="F61" s="422"/>
      <c r="G61" s="423"/>
      <c r="H61" s="423"/>
      <c r="I61" s="424"/>
      <c r="J61" s="424"/>
      <c r="K61" s="425"/>
      <c r="L61" s="421"/>
      <c r="M61" s="421"/>
      <c r="N61" s="421"/>
      <c r="O61" s="421"/>
      <c r="P61" s="421"/>
      <c r="Q61" s="421"/>
    </row>
    <row r="62" spans="2:17" ht="0.75" customHeight="1"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</row>
    <row r="63" spans="1:17" ht="24.75" customHeight="1">
      <c r="A63" s="259">
        <v>3</v>
      </c>
      <c r="B63" s="764" t="s">
        <v>141</v>
      </c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</row>
    <row r="64" spans="2:17" ht="12.75">
      <c r="B64" s="422"/>
      <c r="C64" s="422"/>
      <c r="D64" s="422"/>
      <c r="E64" s="422"/>
      <c r="F64" s="422"/>
      <c r="G64" s="423"/>
      <c r="H64" s="423"/>
      <c r="I64" s="424"/>
      <c r="J64" s="424"/>
      <c r="K64" s="425"/>
      <c r="L64" s="421"/>
      <c r="M64" s="421"/>
      <c r="N64" s="421"/>
      <c r="O64" s="421"/>
      <c r="P64" s="421"/>
      <c r="Q64" s="421"/>
    </row>
    <row r="65" spans="2:17" ht="0.75" customHeight="1">
      <c r="B65" s="426"/>
      <c r="C65" s="422"/>
      <c r="D65" s="422"/>
      <c r="E65" s="422"/>
      <c r="F65" s="422"/>
      <c r="G65" s="423"/>
      <c r="H65" s="423"/>
      <c r="I65" s="424"/>
      <c r="J65" s="424"/>
      <c r="K65" s="425"/>
      <c r="L65" s="421"/>
      <c r="M65" s="421"/>
      <c r="N65" s="421"/>
      <c r="O65" s="421"/>
      <c r="P65" s="421"/>
      <c r="Q65" s="421"/>
    </row>
    <row r="66" spans="1:17" ht="12.75">
      <c r="A66" s="259">
        <v>4</v>
      </c>
      <c r="B66" s="426" t="s">
        <v>142</v>
      </c>
      <c r="C66" s="422"/>
      <c r="D66" s="422"/>
      <c r="E66" s="422"/>
      <c r="F66" s="422"/>
      <c r="G66" s="423"/>
      <c r="H66" s="423"/>
      <c r="I66" s="424"/>
      <c r="J66" s="424"/>
      <c r="K66" s="425"/>
      <c r="L66" s="421"/>
      <c r="M66" s="421"/>
      <c r="N66" s="421"/>
      <c r="O66" s="421"/>
      <c r="P66" s="421"/>
      <c r="Q66" s="421"/>
    </row>
    <row r="67" spans="2:17" ht="12.75">
      <c r="B67" s="422" t="s">
        <v>45</v>
      </c>
      <c r="C67" s="422"/>
      <c r="D67" s="422"/>
      <c r="E67" s="422"/>
      <c r="F67" s="422"/>
      <c r="G67" s="423"/>
      <c r="H67" s="423"/>
      <c r="I67" s="424"/>
      <c r="J67" s="424"/>
      <c r="K67" s="425"/>
      <c r="L67" s="421"/>
      <c r="M67" s="421"/>
      <c r="N67" s="421"/>
      <c r="O67" s="421"/>
      <c r="P67" s="421"/>
      <c r="Q67" s="421"/>
    </row>
    <row r="68" spans="2:17" ht="0.75" customHeight="1">
      <c r="B68" s="422"/>
      <c r="C68" s="422"/>
      <c r="D68" s="422"/>
      <c r="E68" s="422"/>
      <c r="F68" s="422"/>
      <c r="G68" s="423"/>
      <c r="H68" s="423"/>
      <c r="I68" s="424"/>
      <c r="J68" s="424"/>
      <c r="K68" s="425"/>
      <c r="L68" s="421"/>
      <c r="M68" s="421"/>
      <c r="N68" s="421"/>
      <c r="O68" s="421"/>
      <c r="P68" s="421"/>
      <c r="Q68" s="421"/>
    </row>
    <row r="69" spans="1:17" ht="12.75">
      <c r="A69" s="259">
        <v>5</v>
      </c>
      <c r="B69" s="422" t="s">
        <v>143</v>
      </c>
      <c r="C69" s="422"/>
      <c r="D69" s="422"/>
      <c r="E69" s="422"/>
      <c r="F69" s="422"/>
      <c r="G69" s="423"/>
      <c r="H69" s="423"/>
      <c r="I69" s="424"/>
      <c r="J69" s="424"/>
      <c r="K69" s="425"/>
      <c r="L69" s="421"/>
      <c r="M69" s="421"/>
      <c r="N69" s="421"/>
      <c r="O69" s="421"/>
      <c r="P69" s="421"/>
      <c r="Q69" s="421"/>
    </row>
    <row r="70" spans="2:17" ht="5.25" customHeight="1">
      <c r="B70" s="422"/>
      <c r="C70" s="422"/>
      <c r="D70" s="422"/>
      <c r="E70" s="422"/>
      <c r="F70" s="422"/>
      <c r="G70" s="423"/>
      <c r="H70" s="423"/>
      <c r="I70" s="424"/>
      <c r="J70" s="424"/>
      <c r="K70" s="425"/>
      <c r="L70" s="421"/>
      <c r="M70" s="421"/>
      <c r="N70" s="421"/>
      <c r="O70" s="421"/>
      <c r="P70" s="421"/>
      <c r="Q70" s="421"/>
    </row>
    <row r="71" spans="2:17" ht="0.75" customHeight="1">
      <c r="B71" s="764"/>
      <c r="C71" s="765"/>
      <c r="D71" s="765"/>
      <c r="E71" s="765"/>
      <c r="F71" s="765"/>
      <c r="G71" s="765"/>
      <c r="H71" s="765"/>
      <c r="I71" s="765"/>
      <c r="J71" s="765"/>
      <c r="K71" s="765"/>
      <c r="L71" s="765"/>
      <c r="M71" s="765"/>
      <c r="N71" s="765"/>
      <c r="O71" s="765"/>
      <c r="P71" s="765"/>
      <c r="Q71" s="765"/>
    </row>
    <row r="72" spans="2:17" ht="26.25" customHeight="1">
      <c r="B72" s="765"/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  <c r="P72" s="765"/>
      <c r="Q72" s="765"/>
    </row>
    <row r="73" spans="1:17" ht="57.75" customHeight="1">
      <c r="A73" s="259">
        <v>6</v>
      </c>
      <c r="B73" s="768" t="s">
        <v>155</v>
      </c>
      <c r="C73" s="769"/>
      <c r="D73" s="769"/>
      <c r="E73" s="769"/>
      <c r="F73" s="769"/>
      <c r="G73" s="769"/>
      <c r="H73" s="769"/>
      <c r="I73" s="769"/>
      <c r="J73" s="769"/>
      <c r="K73" s="769"/>
      <c r="L73" s="769"/>
      <c r="M73" s="769"/>
      <c r="N73" s="769"/>
      <c r="O73" s="769"/>
      <c r="P73" s="769"/>
      <c r="Q73" s="769"/>
    </row>
    <row r="74" spans="2:17" ht="12.75" customHeight="1">
      <c r="B74" s="769"/>
      <c r="C74" s="769"/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69"/>
      <c r="O74" s="769"/>
      <c r="P74" s="769"/>
      <c r="Q74" s="769"/>
    </row>
    <row r="75" spans="9:10" ht="12.75">
      <c r="I75" s="17"/>
      <c r="J75" s="17"/>
    </row>
    <row r="76" spans="2:17" ht="12.75" customHeight="1">
      <c r="B76" s="768" t="s">
        <v>76</v>
      </c>
      <c r="C76" s="769"/>
      <c r="D76" s="769"/>
      <c r="E76" s="769"/>
      <c r="F76" s="769"/>
      <c r="G76" s="769"/>
      <c r="H76" s="769"/>
      <c r="I76" s="769"/>
      <c r="J76" s="769"/>
      <c r="K76" s="769"/>
      <c r="L76" s="769"/>
      <c r="M76" s="769"/>
      <c r="N76" s="769"/>
      <c r="O76" s="769"/>
      <c r="P76" s="769"/>
      <c r="Q76" s="769"/>
    </row>
    <row r="77" spans="1:17" ht="12.75">
      <c r="A77" s="259">
        <v>7</v>
      </c>
      <c r="B77" s="769"/>
      <c r="C77" s="769"/>
      <c r="D77" s="769"/>
      <c r="E77" s="769"/>
      <c r="F77" s="769"/>
      <c r="G77" s="769"/>
      <c r="H77" s="769"/>
      <c r="I77" s="769"/>
      <c r="J77" s="769"/>
      <c r="K77" s="769"/>
      <c r="L77" s="769"/>
      <c r="M77" s="769"/>
      <c r="N77" s="769"/>
      <c r="O77" s="769"/>
      <c r="P77" s="769"/>
      <c r="Q77" s="769"/>
    </row>
    <row r="78" spans="2:14" ht="12.75"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</row>
    <row r="79" spans="1:10" ht="12.75">
      <c r="A79" s="259">
        <v>8</v>
      </c>
      <c r="B79" s="50" t="s">
        <v>87</v>
      </c>
      <c r="I79" s="17"/>
      <c r="J79" s="17"/>
    </row>
    <row r="80" spans="2:10" ht="12.75">
      <c r="B80" s="50"/>
      <c r="I80" s="17"/>
      <c r="J80" s="17"/>
    </row>
    <row r="81" spans="1:10" ht="12.75">
      <c r="A81" s="259">
        <v>9</v>
      </c>
      <c r="B81" s="422" t="s">
        <v>107</v>
      </c>
      <c r="I81" s="17"/>
      <c r="J81" s="17"/>
    </row>
    <row r="82" spans="2:10" ht="12.75">
      <c r="B82" s="426" t="s">
        <v>108</v>
      </c>
      <c r="I82" s="17"/>
      <c r="J82" s="17"/>
    </row>
    <row r="83" spans="2:10" ht="12.75">
      <c r="B83" s="50"/>
      <c r="I83" s="17"/>
      <c r="J83" s="17"/>
    </row>
    <row r="84" spans="2:10" ht="12.75">
      <c r="B84" s="50"/>
      <c r="I84" s="17"/>
      <c r="J84" s="17"/>
    </row>
    <row r="85" spans="9:10" ht="12.75">
      <c r="I85" s="17"/>
      <c r="J85" s="17"/>
    </row>
    <row r="86" ht="12.75">
      <c r="B86" s="421" t="s">
        <v>116</v>
      </c>
    </row>
    <row r="87" spans="2:11" ht="22.5">
      <c r="B87" s="539" t="str">
        <f>B2</f>
        <v>THE SUPPLY AND DEMAND FOR WHITE MAIZE IN SOUTH AFRICA</v>
      </c>
      <c r="C87" s="7"/>
      <c r="D87" s="7"/>
      <c r="E87" s="7"/>
      <c r="F87" s="7"/>
      <c r="G87" s="7"/>
      <c r="H87" s="7"/>
      <c r="I87" s="7"/>
      <c r="J87" s="7"/>
      <c r="K87" s="7"/>
    </row>
    <row r="88" spans="2:22" ht="15.75" thickBot="1">
      <c r="B88" s="545"/>
      <c r="C88" s="540" t="str">
        <f aca="true" t="shared" si="23" ref="C88:S88">C6</f>
        <v>1997/98</v>
      </c>
      <c r="D88" s="540" t="str">
        <f t="shared" si="23"/>
        <v>1998/99</v>
      </c>
      <c r="E88" s="540" t="str">
        <f t="shared" si="23"/>
        <v>1999/00</v>
      </c>
      <c r="F88" s="540" t="str">
        <f t="shared" si="23"/>
        <v>2000/01</v>
      </c>
      <c r="G88" s="540" t="str">
        <f t="shared" si="23"/>
        <v>2001/02</v>
      </c>
      <c r="H88" s="540" t="str">
        <f t="shared" si="23"/>
        <v>2002/03</v>
      </c>
      <c r="I88" s="540" t="str">
        <f t="shared" si="23"/>
        <v>2003/04</v>
      </c>
      <c r="J88" s="540" t="str">
        <f t="shared" si="23"/>
        <v>2004/05</v>
      </c>
      <c r="K88" s="540" t="str">
        <f t="shared" si="23"/>
        <v>2005/06</v>
      </c>
      <c r="L88" s="540" t="str">
        <f t="shared" si="23"/>
        <v>2006/07</v>
      </c>
      <c r="M88" s="540" t="str">
        <f t="shared" si="23"/>
        <v>2007/08</v>
      </c>
      <c r="N88" s="540" t="str">
        <f t="shared" si="23"/>
        <v>2008/09</v>
      </c>
      <c r="O88" s="540" t="str">
        <f t="shared" si="23"/>
        <v>2009/10</v>
      </c>
      <c r="P88" s="540" t="str">
        <f t="shared" si="23"/>
        <v>2010/11</v>
      </c>
      <c r="Q88" s="540" t="str">
        <f t="shared" si="23"/>
        <v>2011/12</v>
      </c>
      <c r="R88" s="540" t="str">
        <f t="shared" si="23"/>
        <v>2012/13</v>
      </c>
      <c r="S88" s="540" t="str">
        <f t="shared" si="23"/>
        <v>2013/14</v>
      </c>
      <c r="T88" s="540"/>
      <c r="U88" s="540"/>
      <c r="V88" s="540"/>
    </row>
    <row r="89" spans="2:22" ht="15">
      <c r="B89" s="541" t="str">
        <f>B16</f>
        <v>Kommersiële aanbod / Commercial supply </v>
      </c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5"/>
      <c r="R89" s="545"/>
      <c r="S89" s="545"/>
      <c r="T89" s="545"/>
      <c r="U89" s="545"/>
      <c r="V89" s="545"/>
    </row>
    <row r="90" spans="2:22" ht="15">
      <c r="B90" s="546" t="str">
        <f>B17</f>
        <v>Beginvoorraad (1 Mei) / Opening stocks (1 May )</v>
      </c>
      <c r="C90" s="545">
        <f>C17</f>
        <v>838</v>
      </c>
      <c r="D90" s="545">
        <f aca="true" t="shared" si="24" ref="D90:S90">D17</f>
        <v>947</v>
      </c>
      <c r="E90" s="545">
        <f t="shared" si="24"/>
        <v>513</v>
      </c>
      <c r="F90" s="545">
        <f t="shared" si="24"/>
        <v>609</v>
      </c>
      <c r="G90" s="545">
        <f t="shared" si="24"/>
        <v>1273</v>
      </c>
      <c r="H90" s="545">
        <f t="shared" si="24"/>
        <v>559</v>
      </c>
      <c r="I90" s="545">
        <f t="shared" si="24"/>
        <v>1718</v>
      </c>
      <c r="J90" s="545">
        <f t="shared" si="24"/>
        <v>2123</v>
      </c>
      <c r="K90" s="545">
        <f t="shared" si="24"/>
        <v>2402</v>
      </c>
      <c r="L90" s="545">
        <f t="shared" si="24"/>
        <v>2300</v>
      </c>
      <c r="M90" s="545">
        <f t="shared" si="24"/>
        <v>1630</v>
      </c>
      <c r="N90" s="545">
        <f t="shared" si="24"/>
        <v>618</v>
      </c>
      <c r="O90" s="545">
        <f t="shared" si="24"/>
        <v>762</v>
      </c>
      <c r="P90" s="545">
        <f t="shared" si="24"/>
        <v>1362</v>
      </c>
      <c r="Q90" s="545">
        <f t="shared" si="24"/>
        <v>1609</v>
      </c>
      <c r="R90" s="545">
        <f t="shared" si="24"/>
        <v>518</v>
      </c>
      <c r="S90" s="545">
        <f t="shared" si="24"/>
        <v>757.214</v>
      </c>
      <c r="T90" s="545"/>
      <c r="U90" s="545"/>
      <c r="V90" s="545"/>
    </row>
    <row r="91" spans="2:22" ht="15">
      <c r="B91" s="546" t="str">
        <f aca="true" t="shared" si="25" ref="B91:C93">B18</f>
        <v>Kommersiële lewerings / Commercial deliveries </v>
      </c>
      <c r="C91" s="545">
        <f t="shared" si="25"/>
        <v>5183</v>
      </c>
      <c r="D91" s="545">
        <f aca="true" t="shared" si="26" ref="D91:S91">D18</f>
        <v>4412</v>
      </c>
      <c r="E91" s="545">
        <f t="shared" si="26"/>
        <v>4652</v>
      </c>
      <c r="F91" s="545">
        <f t="shared" si="26"/>
        <v>6440</v>
      </c>
      <c r="G91" s="545">
        <f t="shared" si="26"/>
        <v>4636</v>
      </c>
      <c r="H91" s="545">
        <f t="shared" si="26"/>
        <v>5576</v>
      </c>
      <c r="I91" s="545">
        <f t="shared" si="26"/>
        <v>5845</v>
      </c>
      <c r="J91" s="545">
        <f t="shared" si="26"/>
        <v>5647</v>
      </c>
      <c r="K91" s="545">
        <f t="shared" si="26"/>
        <v>6108</v>
      </c>
      <c r="L91" s="545">
        <f t="shared" si="26"/>
        <v>4392</v>
      </c>
      <c r="M91" s="545">
        <f t="shared" si="26"/>
        <v>4309</v>
      </c>
      <c r="N91" s="545">
        <f t="shared" si="26"/>
        <v>7190</v>
      </c>
      <c r="O91" s="545">
        <f t="shared" si="26"/>
        <v>6737</v>
      </c>
      <c r="P91" s="545">
        <f t="shared" si="26"/>
        <v>7518</v>
      </c>
      <c r="Q91" s="545">
        <f t="shared" si="26"/>
        <v>6105</v>
      </c>
      <c r="R91" s="545">
        <f t="shared" si="26"/>
        <v>6880</v>
      </c>
      <c r="S91" s="545">
        <f t="shared" si="26"/>
        <v>5342.204</v>
      </c>
      <c r="T91" s="545"/>
      <c r="U91" s="545"/>
      <c r="V91" s="545"/>
    </row>
    <row r="92" spans="2:22" ht="15">
      <c r="B92" s="546" t="str">
        <f t="shared" si="25"/>
        <v>Invoere /Imports</v>
      </c>
      <c r="C92" s="545">
        <f t="shared" si="25"/>
        <v>5</v>
      </c>
      <c r="D92" s="545">
        <f aca="true" t="shared" si="27" ref="D92:S92">D19</f>
        <v>0</v>
      </c>
      <c r="E92" s="545">
        <f t="shared" si="27"/>
        <v>0</v>
      </c>
      <c r="F92" s="545">
        <f t="shared" si="27"/>
        <v>0</v>
      </c>
      <c r="G92" s="545">
        <f t="shared" si="27"/>
        <v>47</v>
      </c>
      <c r="H92" s="545">
        <f t="shared" si="27"/>
        <v>274</v>
      </c>
      <c r="I92" s="545">
        <f t="shared" si="27"/>
        <v>33</v>
      </c>
      <c r="J92" s="545">
        <f t="shared" si="27"/>
        <v>0</v>
      </c>
      <c r="K92" s="545">
        <f t="shared" si="27"/>
        <v>0</v>
      </c>
      <c r="L92" s="545">
        <f t="shared" si="27"/>
        <v>0</v>
      </c>
      <c r="M92" s="545">
        <f t="shared" si="27"/>
        <v>46</v>
      </c>
      <c r="N92" s="545">
        <f t="shared" si="27"/>
        <v>0</v>
      </c>
      <c r="O92" s="545">
        <f t="shared" si="27"/>
        <v>0</v>
      </c>
      <c r="P92" s="545">
        <f t="shared" si="27"/>
        <v>0</v>
      </c>
      <c r="Q92" s="545">
        <f t="shared" si="27"/>
        <v>133</v>
      </c>
      <c r="R92" s="545">
        <f t="shared" si="27"/>
        <v>11</v>
      </c>
      <c r="S92" s="545">
        <f t="shared" si="27"/>
        <v>0</v>
      </c>
      <c r="T92" s="545"/>
      <c r="U92" s="545"/>
      <c r="V92" s="545"/>
    </row>
    <row r="93" spans="2:22" ht="15.75" thickBot="1">
      <c r="B93" s="542" t="str">
        <f t="shared" si="25"/>
        <v>Totaal kommersiële aanbod /Total commercial supply</v>
      </c>
      <c r="C93" s="542">
        <f t="shared" si="25"/>
        <v>6026</v>
      </c>
      <c r="D93" s="542">
        <f aca="true" t="shared" si="28" ref="D93:S93">D20</f>
        <v>5359</v>
      </c>
      <c r="E93" s="542">
        <f t="shared" si="28"/>
        <v>5165</v>
      </c>
      <c r="F93" s="542">
        <f t="shared" si="28"/>
        <v>7049</v>
      </c>
      <c r="G93" s="542">
        <f t="shared" si="28"/>
        <v>5956</v>
      </c>
      <c r="H93" s="542">
        <f t="shared" si="28"/>
        <v>6409</v>
      </c>
      <c r="I93" s="542">
        <f t="shared" si="28"/>
        <v>7596</v>
      </c>
      <c r="J93" s="542">
        <f t="shared" si="28"/>
        <v>7770</v>
      </c>
      <c r="K93" s="542">
        <f t="shared" si="28"/>
        <v>8510</v>
      </c>
      <c r="L93" s="542">
        <f t="shared" si="28"/>
        <v>6692</v>
      </c>
      <c r="M93" s="542">
        <f t="shared" si="28"/>
        <v>5985</v>
      </c>
      <c r="N93" s="542">
        <f t="shared" si="28"/>
        <v>7808</v>
      </c>
      <c r="O93" s="542">
        <f t="shared" si="28"/>
        <v>7499</v>
      </c>
      <c r="P93" s="542">
        <f t="shared" si="28"/>
        <v>8880</v>
      </c>
      <c r="Q93" s="542">
        <f t="shared" si="28"/>
        <v>7847</v>
      </c>
      <c r="R93" s="542">
        <f t="shared" si="28"/>
        <v>7409</v>
      </c>
      <c r="S93" s="542">
        <f t="shared" si="28"/>
        <v>6099.418</v>
      </c>
      <c r="T93" s="542"/>
      <c r="U93" s="542"/>
      <c r="V93" s="542"/>
    </row>
    <row r="94" spans="2:22" ht="15.75" thickTop="1">
      <c r="B94" s="541" t="str">
        <f>B23</f>
        <v>Kommersiële verbruik / Commercial consumption</v>
      </c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</row>
    <row r="95" spans="2:22" ht="15">
      <c r="B95" s="547" t="str">
        <f>B24</f>
        <v>    Voedsel / Food</v>
      </c>
      <c r="C95" s="545">
        <f>C24</f>
        <v>3316</v>
      </c>
      <c r="D95" s="545">
        <f aca="true" t="shared" si="29" ref="D95:S95">D24</f>
        <v>3255</v>
      </c>
      <c r="E95" s="545">
        <f t="shared" si="29"/>
        <v>3235</v>
      </c>
      <c r="F95" s="545">
        <f t="shared" si="29"/>
        <v>3377</v>
      </c>
      <c r="G95" s="545">
        <f t="shared" si="29"/>
        <v>3630</v>
      </c>
      <c r="H95" s="545">
        <f t="shared" si="29"/>
        <v>3459</v>
      </c>
      <c r="I95" s="545">
        <f t="shared" si="29"/>
        <v>3467</v>
      </c>
      <c r="J95" s="545">
        <f t="shared" si="29"/>
        <v>3478</v>
      </c>
      <c r="K95" s="545">
        <f t="shared" si="29"/>
        <v>3559</v>
      </c>
      <c r="L95" s="545">
        <f t="shared" si="29"/>
        <v>3526</v>
      </c>
      <c r="M95" s="545">
        <f t="shared" si="29"/>
        <v>3552</v>
      </c>
      <c r="N95" s="545">
        <f t="shared" si="29"/>
        <v>4198</v>
      </c>
      <c r="O95" s="545">
        <f t="shared" si="29"/>
        <v>4125</v>
      </c>
      <c r="P95" s="545">
        <f t="shared" si="29"/>
        <v>4157</v>
      </c>
      <c r="Q95" s="545">
        <f t="shared" si="29"/>
        <v>4119</v>
      </c>
      <c r="R95" s="545">
        <f t="shared" si="29"/>
        <v>4095</v>
      </c>
      <c r="S95" s="545">
        <f t="shared" si="29"/>
        <v>4118.448</v>
      </c>
      <c r="T95" s="545"/>
      <c r="U95" s="545"/>
      <c r="V95" s="545"/>
    </row>
    <row r="96" spans="2:22" ht="15">
      <c r="B96" s="547" t="str">
        <f>B25</f>
        <v>    Voer / Feed</v>
      </c>
      <c r="C96" s="545">
        <f>C25</f>
        <v>268</v>
      </c>
      <c r="D96" s="545">
        <f aca="true" t="shared" si="30" ref="D96:S96">D25</f>
        <v>331</v>
      </c>
      <c r="E96" s="545">
        <f t="shared" si="30"/>
        <v>452</v>
      </c>
      <c r="F96" s="545">
        <f t="shared" si="30"/>
        <v>783</v>
      </c>
      <c r="G96" s="545">
        <f t="shared" si="30"/>
        <v>446</v>
      </c>
      <c r="H96" s="545">
        <f t="shared" si="30"/>
        <v>105</v>
      </c>
      <c r="I96" s="545">
        <f t="shared" si="30"/>
        <v>641</v>
      </c>
      <c r="J96" s="545">
        <f t="shared" si="30"/>
        <v>733</v>
      </c>
      <c r="K96" s="545">
        <f t="shared" si="30"/>
        <v>543</v>
      </c>
      <c r="L96" s="545">
        <f t="shared" si="30"/>
        <v>787</v>
      </c>
      <c r="M96" s="545">
        <f t="shared" si="30"/>
        <v>1142</v>
      </c>
      <c r="N96" s="545">
        <f t="shared" si="30"/>
        <v>772</v>
      </c>
      <c r="O96" s="545">
        <f t="shared" si="30"/>
        <v>362</v>
      </c>
      <c r="P96" s="545">
        <f t="shared" si="30"/>
        <v>1658</v>
      </c>
      <c r="Q96" s="545">
        <f t="shared" si="30"/>
        <v>1202</v>
      </c>
      <c r="R96" s="545">
        <f t="shared" si="30"/>
        <v>904</v>
      </c>
      <c r="S96" s="545">
        <f t="shared" si="30"/>
        <v>651.925</v>
      </c>
      <c r="T96" s="545"/>
      <c r="U96" s="545"/>
      <c r="V96" s="545"/>
    </row>
    <row r="97" spans="2:22" ht="15">
      <c r="B97" s="546" t="str">
        <f>B27</f>
        <v>Ander verbruik / Other consumption</v>
      </c>
      <c r="C97" s="545">
        <f>C32</f>
        <v>-11</v>
      </c>
      <c r="D97" s="545">
        <f aca="true" t="shared" si="31" ref="D97:S97">D32</f>
        <v>-17</v>
      </c>
      <c r="E97" s="545">
        <f t="shared" si="31"/>
        <v>275</v>
      </c>
      <c r="F97" s="545">
        <f t="shared" si="31"/>
        <v>755</v>
      </c>
      <c r="G97" s="545">
        <f t="shared" si="31"/>
        <v>509</v>
      </c>
      <c r="H97" s="545">
        <f t="shared" si="31"/>
        <v>310</v>
      </c>
      <c r="I97" s="545">
        <f t="shared" si="31"/>
        <v>296</v>
      </c>
      <c r="J97" s="545">
        <f t="shared" si="31"/>
        <v>445</v>
      </c>
      <c r="K97" s="545">
        <f t="shared" si="31"/>
        <v>264</v>
      </c>
      <c r="L97" s="545">
        <f t="shared" si="31"/>
        <v>269</v>
      </c>
      <c r="M97" s="545">
        <f t="shared" si="31"/>
        <v>242</v>
      </c>
      <c r="N97" s="545">
        <f t="shared" si="31"/>
        <v>113</v>
      </c>
      <c r="O97" s="545">
        <f t="shared" si="31"/>
        <v>180</v>
      </c>
      <c r="P97" s="545">
        <f t="shared" si="31"/>
        <v>332</v>
      </c>
      <c r="Q97" s="545">
        <f t="shared" si="31"/>
        <v>214</v>
      </c>
      <c r="R97" s="545">
        <f t="shared" si="31"/>
        <v>209</v>
      </c>
      <c r="S97" s="545">
        <f t="shared" si="31"/>
        <v>45.804</v>
      </c>
      <c r="T97" s="545"/>
      <c r="U97" s="545"/>
      <c r="V97" s="545"/>
    </row>
    <row r="98" spans="2:22" ht="15">
      <c r="B98" s="547" t="str">
        <f>B34</f>
        <v>   Uitvoere / Exports </v>
      </c>
      <c r="C98" s="545">
        <f>C37</f>
        <v>1119</v>
      </c>
      <c r="D98" s="545">
        <f aca="true" t="shared" si="32" ref="D98:S98">D37</f>
        <v>1108</v>
      </c>
      <c r="E98" s="545">
        <f t="shared" si="32"/>
        <v>594</v>
      </c>
      <c r="F98" s="545">
        <f t="shared" si="32"/>
        <v>861</v>
      </c>
      <c r="G98" s="545">
        <f t="shared" si="32"/>
        <v>812</v>
      </c>
      <c r="H98" s="545">
        <f t="shared" si="32"/>
        <v>817</v>
      </c>
      <c r="I98" s="545">
        <f t="shared" si="32"/>
        <v>1069</v>
      </c>
      <c r="J98" s="545">
        <f t="shared" si="32"/>
        <v>712</v>
      </c>
      <c r="K98" s="545">
        <f t="shared" si="32"/>
        <v>1844</v>
      </c>
      <c r="L98" s="545">
        <f t="shared" si="32"/>
        <v>480</v>
      </c>
      <c r="M98" s="545">
        <f t="shared" si="32"/>
        <v>431</v>
      </c>
      <c r="N98" s="545">
        <f t="shared" si="32"/>
        <v>1963</v>
      </c>
      <c r="O98" s="545">
        <f t="shared" si="32"/>
        <v>1470</v>
      </c>
      <c r="P98" s="545">
        <f t="shared" si="32"/>
        <v>1124</v>
      </c>
      <c r="Q98" s="545">
        <f t="shared" si="32"/>
        <v>1794</v>
      </c>
      <c r="R98" s="545">
        <f t="shared" si="32"/>
        <v>1468</v>
      </c>
      <c r="S98" s="545">
        <f t="shared" si="32"/>
        <v>1008.923</v>
      </c>
      <c r="T98" s="545"/>
      <c r="U98" s="545"/>
      <c r="V98" s="545"/>
    </row>
    <row r="99" spans="2:22" ht="15.75" thickBot="1">
      <c r="B99" s="542" t="str">
        <f>B38</f>
        <v>Totaal kommersiële vraag / Total commercial demand</v>
      </c>
      <c r="C99" s="542">
        <f aca="true" t="shared" si="33" ref="C99:S99">C38</f>
        <v>4692</v>
      </c>
      <c r="D99" s="542">
        <f t="shared" si="33"/>
        <v>4677</v>
      </c>
      <c r="E99" s="542">
        <f t="shared" si="33"/>
        <v>4556</v>
      </c>
      <c r="F99" s="542">
        <f t="shared" si="33"/>
        <v>5776</v>
      </c>
      <c r="G99" s="542">
        <f t="shared" si="33"/>
        <v>5397</v>
      </c>
      <c r="H99" s="542">
        <f t="shared" si="33"/>
        <v>4691</v>
      </c>
      <c r="I99" s="542">
        <f t="shared" si="33"/>
        <v>5473</v>
      </c>
      <c r="J99" s="542">
        <f t="shared" si="33"/>
        <v>5368</v>
      </c>
      <c r="K99" s="542">
        <f t="shared" si="33"/>
        <v>6210</v>
      </c>
      <c r="L99" s="542">
        <f t="shared" si="33"/>
        <v>5062</v>
      </c>
      <c r="M99" s="542">
        <f t="shared" si="33"/>
        <v>5367</v>
      </c>
      <c r="N99" s="542">
        <f t="shared" si="33"/>
        <v>7046</v>
      </c>
      <c r="O99" s="542">
        <f t="shared" si="33"/>
        <v>6137</v>
      </c>
      <c r="P99" s="542">
        <f t="shared" si="33"/>
        <v>7271</v>
      </c>
      <c r="Q99" s="542">
        <f t="shared" si="33"/>
        <v>7329</v>
      </c>
      <c r="R99" s="542">
        <f t="shared" si="33"/>
        <v>6676</v>
      </c>
      <c r="S99" s="542">
        <f t="shared" si="33"/>
        <v>5825.1</v>
      </c>
      <c r="T99" s="542"/>
      <c r="U99" s="542"/>
      <c r="V99" s="542"/>
    </row>
    <row r="100" spans="2:22" ht="15.75" thickTop="1">
      <c r="B100" s="543" t="str">
        <f>B40</f>
        <v>Eindvoorraad (30 April) / Carry-out (30 April)</v>
      </c>
      <c r="C100" s="543">
        <f>C40</f>
        <v>1236</v>
      </c>
      <c r="D100" s="543">
        <f aca="true" t="shared" si="34" ref="D100:S100">D40</f>
        <v>682</v>
      </c>
      <c r="E100" s="543">
        <f t="shared" si="34"/>
        <v>604</v>
      </c>
      <c r="F100" s="543">
        <f t="shared" si="34"/>
        <v>1273</v>
      </c>
      <c r="G100" s="543">
        <f t="shared" si="34"/>
        <v>559</v>
      </c>
      <c r="H100" s="543">
        <f t="shared" si="34"/>
        <v>1718</v>
      </c>
      <c r="I100" s="543">
        <f t="shared" si="34"/>
        <v>2123</v>
      </c>
      <c r="J100" s="543">
        <f t="shared" si="34"/>
        <v>2402</v>
      </c>
      <c r="K100" s="543">
        <f t="shared" si="34"/>
        <v>2300</v>
      </c>
      <c r="L100" s="543">
        <f t="shared" si="34"/>
        <v>1630</v>
      </c>
      <c r="M100" s="543">
        <f t="shared" si="34"/>
        <v>618</v>
      </c>
      <c r="N100" s="543">
        <f t="shared" si="34"/>
        <v>762</v>
      </c>
      <c r="O100" s="543">
        <f t="shared" si="34"/>
        <v>1362</v>
      </c>
      <c r="P100" s="543">
        <f t="shared" si="34"/>
        <v>1609</v>
      </c>
      <c r="Q100" s="543">
        <f t="shared" si="34"/>
        <v>518</v>
      </c>
      <c r="R100" s="543">
        <f t="shared" si="34"/>
        <v>756.656</v>
      </c>
      <c r="S100" s="543">
        <f t="shared" si="34"/>
        <v>274.3179999999993</v>
      </c>
      <c r="T100" s="543"/>
      <c r="U100" s="543"/>
      <c r="V100" s="543"/>
    </row>
    <row r="101" spans="2:22" ht="15">
      <c r="B101" s="544" t="str">
        <f>B42</f>
        <v>Benodigde pyplyn / Pipeline requirements</v>
      </c>
      <c r="C101" s="544">
        <f>C42</f>
        <v>448</v>
      </c>
      <c r="D101" s="544">
        <f aca="true" t="shared" si="35" ref="D101:S101">D42</f>
        <v>448.25</v>
      </c>
      <c r="E101" s="544">
        <f t="shared" si="35"/>
        <v>460.875</v>
      </c>
      <c r="F101" s="544">
        <f t="shared" si="35"/>
        <v>520</v>
      </c>
      <c r="G101" s="544">
        <f t="shared" si="35"/>
        <v>509.5</v>
      </c>
      <c r="H101" s="544">
        <f t="shared" si="35"/>
        <v>445.5</v>
      </c>
      <c r="I101" s="544">
        <f t="shared" si="35"/>
        <v>513.5</v>
      </c>
      <c r="J101" s="544">
        <f t="shared" si="35"/>
        <v>526.375</v>
      </c>
      <c r="K101" s="544">
        <f t="shared" si="35"/>
        <v>512.75</v>
      </c>
      <c r="L101" s="544">
        <f t="shared" si="35"/>
        <v>539.125</v>
      </c>
      <c r="M101" s="544">
        <f t="shared" si="35"/>
        <v>586.75</v>
      </c>
      <c r="N101" s="544">
        <f t="shared" si="35"/>
        <v>621.25</v>
      </c>
      <c r="O101" s="544">
        <f t="shared" si="35"/>
        <v>560.875</v>
      </c>
      <c r="P101" s="544">
        <f t="shared" si="35"/>
        <v>726.875</v>
      </c>
      <c r="Q101" s="544">
        <f t="shared" si="35"/>
        <v>665.125</v>
      </c>
      <c r="R101" s="544">
        <f t="shared" si="35"/>
        <v>624.875</v>
      </c>
      <c r="S101" s="544">
        <f t="shared" si="35"/>
        <v>596.2966250000001</v>
      </c>
      <c r="T101" s="544"/>
      <c r="U101" s="544"/>
      <c r="V101" s="544"/>
    </row>
    <row r="102" spans="2:22" ht="15">
      <c r="B102" s="544" t="str">
        <f>B44</f>
        <v>Surplus bo pyplyn/Surplus above pipeline</v>
      </c>
      <c r="C102" s="544">
        <f>C44</f>
        <v>788</v>
      </c>
      <c r="D102" s="544">
        <f aca="true" t="shared" si="36" ref="D102:S102">D44</f>
        <v>233.75</v>
      </c>
      <c r="E102" s="544">
        <f t="shared" si="36"/>
        <v>143.125</v>
      </c>
      <c r="F102" s="544">
        <f t="shared" si="36"/>
        <v>753</v>
      </c>
      <c r="G102" s="544">
        <f t="shared" si="36"/>
        <v>49.5</v>
      </c>
      <c r="H102" s="544">
        <f t="shared" si="36"/>
        <v>1272.5</v>
      </c>
      <c r="I102" s="544">
        <f t="shared" si="36"/>
        <v>1609.5</v>
      </c>
      <c r="J102" s="544">
        <f t="shared" si="36"/>
        <v>1875.625</v>
      </c>
      <c r="K102" s="544">
        <f t="shared" si="36"/>
        <v>1787.25</v>
      </c>
      <c r="L102" s="544">
        <f t="shared" si="36"/>
        <v>1090.875</v>
      </c>
      <c r="M102" s="544">
        <f t="shared" si="36"/>
        <v>31.25</v>
      </c>
      <c r="N102" s="544">
        <f t="shared" si="36"/>
        <v>140.75</v>
      </c>
      <c r="O102" s="544">
        <f t="shared" si="36"/>
        <v>801.125</v>
      </c>
      <c r="P102" s="544">
        <f t="shared" si="36"/>
        <v>882.125</v>
      </c>
      <c r="Q102" s="544">
        <f t="shared" si="36"/>
        <v>-147.125</v>
      </c>
      <c r="R102" s="544">
        <f t="shared" si="36"/>
        <v>131.78099999999995</v>
      </c>
      <c r="S102" s="544">
        <f t="shared" si="36"/>
        <v>-321.97862500000076</v>
      </c>
      <c r="T102" s="544"/>
      <c r="U102" s="544"/>
      <c r="V102" s="544"/>
    </row>
    <row r="103" spans="9:10" ht="12.75">
      <c r="I103" s="17"/>
      <c r="J103" s="17"/>
    </row>
    <row r="104" spans="9:10" ht="12.75">
      <c r="I104" s="17"/>
      <c r="J104" s="17"/>
    </row>
    <row r="105" spans="9:10" ht="12.75">
      <c r="I105" s="17"/>
      <c r="J105" s="17"/>
    </row>
    <row r="106" spans="9:10" ht="12.75">
      <c r="I106" s="17"/>
      <c r="J106" s="17"/>
    </row>
    <row r="107" spans="9:10" ht="12.75">
      <c r="I107" s="17"/>
      <c r="J107" s="17"/>
    </row>
    <row r="108" spans="9:10" ht="12.75">
      <c r="I108" s="17"/>
      <c r="J108" s="17"/>
    </row>
    <row r="109" spans="9:10" ht="12.75">
      <c r="I109" s="17"/>
      <c r="J109" s="17"/>
    </row>
    <row r="110" spans="9:10" ht="12.75">
      <c r="I110" s="17"/>
      <c r="J110" s="17"/>
    </row>
    <row r="111" spans="9:10" ht="12.75">
      <c r="I111" s="17"/>
      <c r="J111" s="17"/>
    </row>
    <row r="112" spans="9:10" ht="12.75">
      <c r="I112" s="17"/>
      <c r="J112" s="17"/>
    </row>
    <row r="113" spans="9:10" ht="12.75">
      <c r="I113" s="17"/>
      <c r="J113" s="17"/>
    </row>
    <row r="114" spans="9:10" ht="12.75">
      <c r="I114" s="17"/>
      <c r="J114" s="17"/>
    </row>
    <row r="115" spans="9:10" ht="12.75">
      <c r="I115" s="17"/>
      <c r="J115" s="17"/>
    </row>
    <row r="116" spans="9:10" ht="12.75">
      <c r="I116" s="17"/>
      <c r="J116" s="17"/>
    </row>
    <row r="117" spans="9:10" ht="12.75">
      <c r="I117" s="17"/>
      <c r="J117" s="17"/>
    </row>
    <row r="118" spans="9:10" ht="12.75">
      <c r="I118" s="17"/>
      <c r="J118" s="17"/>
    </row>
    <row r="119" spans="9:10" ht="12.75">
      <c r="I119" s="17"/>
      <c r="J119" s="17"/>
    </row>
    <row r="120" spans="9:10" ht="12.75">
      <c r="I120" s="17"/>
      <c r="J120" s="17"/>
    </row>
    <row r="121" spans="9:10" ht="12.75">
      <c r="I121" s="17"/>
      <c r="J121" s="17"/>
    </row>
    <row r="122" spans="9:10" ht="12.75">
      <c r="I122" s="17"/>
      <c r="J122" s="17"/>
    </row>
    <row r="123" spans="9:10" ht="12.75">
      <c r="I123" s="17"/>
      <c r="J123" s="17"/>
    </row>
    <row r="124" spans="9:10" ht="12.75">
      <c r="I124" s="17"/>
      <c r="J124" s="17"/>
    </row>
    <row r="125" spans="9:10" ht="12.75">
      <c r="I125" s="17"/>
      <c r="J125" s="17"/>
    </row>
    <row r="126" spans="9:10" ht="12.75">
      <c r="I126" s="17"/>
      <c r="J126" s="17"/>
    </row>
    <row r="127" spans="9:10" ht="12.75">
      <c r="I127" s="17"/>
      <c r="J127" s="17"/>
    </row>
    <row r="128" spans="9:10" ht="12.75">
      <c r="I128" s="17"/>
      <c r="J128" s="17"/>
    </row>
    <row r="129" spans="9:10" ht="12.75">
      <c r="I129" s="17"/>
      <c r="J129" s="17"/>
    </row>
    <row r="130" spans="9:10" ht="12.75">
      <c r="I130" s="17"/>
      <c r="J130" s="17"/>
    </row>
    <row r="131" spans="9:10" ht="12.75">
      <c r="I131" s="17"/>
      <c r="J131" s="17"/>
    </row>
    <row r="132" spans="9:10" ht="12.75">
      <c r="I132" s="17"/>
      <c r="J132" s="17"/>
    </row>
    <row r="133" spans="9:10" ht="12.75">
      <c r="I133" s="17"/>
      <c r="J133" s="17"/>
    </row>
    <row r="134" spans="9:10" ht="12.75">
      <c r="I134" s="17"/>
      <c r="J134" s="17"/>
    </row>
    <row r="135" spans="9:10" ht="12.75">
      <c r="I135" s="17"/>
      <c r="J135" s="17"/>
    </row>
    <row r="136" spans="9:10" ht="12.75">
      <c r="I136" s="17"/>
      <c r="J136" s="17"/>
    </row>
    <row r="137" spans="9:10" ht="12.75">
      <c r="I137" s="17"/>
      <c r="J137" s="17"/>
    </row>
    <row r="138" spans="9:10" ht="12.75">
      <c r="I138" s="17"/>
      <c r="J138" s="17"/>
    </row>
    <row r="139" spans="9:10" ht="12.75">
      <c r="I139" s="17"/>
      <c r="J139" s="17"/>
    </row>
    <row r="140" spans="9:10" ht="12.75">
      <c r="I140" s="17"/>
      <c r="J140" s="17"/>
    </row>
    <row r="141" spans="9:10" ht="12.75">
      <c r="I141" s="17"/>
      <c r="J141" s="17"/>
    </row>
    <row r="142" spans="9:10" ht="12.75">
      <c r="I142" s="17"/>
      <c r="J142" s="17"/>
    </row>
    <row r="143" spans="9:10" ht="12.75">
      <c r="I143" s="17"/>
      <c r="J143" s="17"/>
    </row>
    <row r="144" spans="9:10" ht="12.75">
      <c r="I144" s="17"/>
      <c r="J144" s="17"/>
    </row>
    <row r="145" spans="9:10" ht="12.75">
      <c r="I145" s="17"/>
      <c r="J145" s="17"/>
    </row>
    <row r="146" spans="9:10" ht="12.75">
      <c r="I146" s="17"/>
      <c r="J146" s="17"/>
    </row>
    <row r="147" spans="9:10" ht="12.75">
      <c r="I147" s="17"/>
      <c r="J147" s="17"/>
    </row>
    <row r="148" spans="9:10" ht="12.75">
      <c r="I148" s="17"/>
      <c r="J148" s="17"/>
    </row>
    <row r="149" spans="9:10" ht="12.75">
      <c r="I149" s="17"/>
      <c r="J149" s="17"/>
    </row>
    <row r="150" spans="9:10" ht="12.75">
      <c r="I150" s="17"/>
      <c r="J150" s="17"/>
    </row>
    <row r="151" spans="9:10" ht="12.75">
      <c r="I151" s="17"/>
      <c r="J151" s="17"/>
    </row>
    <row r="152" spans="9:10" ht="12.75">
      <c r="I152" s="17"/>
      <c r="J152" s="17"/>
    </row>
    <row r="153" spans="9:10" ht="12.75">
      <c r="I153" s="17"/>
      <c r="J153" s="17"/>
    </row>
    <row r="154" spans="9:10" ht="12.75">
      <c r="I154" s="17"/>
      <c r="J154" s="17"/>
    </row>
    <row r="155" spans="9:10" ht="12.75">
      <c r="I155" s="17"/>
      <c r="J155" s="17"/>
    </row>
    <row r="156" spans="9:10" ht="12.75">
      <c r="I156" s="17"/>
      <c r="J156" s="17"/>
    </row>
    <row r="157" spans="9:10" ht="12.75">
      <c r="I157" s="17"/>
      <c r="J157" s="17"/>
    </row>
    <row r="158" spans="9:10" ht="12.75">
      <c r="I158" s="17"/>
      <c r="J158" s="17"/>
    </row>
    <row r="159" spans="9:10" ht="12.75">
      <c r="I159" s="17"/>
      <c r="J159" s="17"/>
    </row>
    <row r="160" spans="9:10" ht="12.75">
      <c r="I160" s="17"/>
      <c r="J160" s="17"/>
    </row>
    <row r="161" spans="9:10" ht="12.75">
      <c r="I161" s="17"/>
      <c r="J161" s="17"/>
    </row>
    <row r="162" spans="9:10" ht="12.75">
      <c r="I162" s="17"/>
      <c r="J162" s="17"/>
    </row>
    <row r="163" spans="9:10" ht="12.75">
      <c r="I163" s="17"/>
      <c r="J163" s="17"/>
    </row>
    <row r="164" spans="9:10" ht="12.75">
      <c r="I164" s="17"/>
      <c r="J164" s="17"/>
    </row>
    <row r="165" spans="9:10" ht="12.75">
      <c r="I165" s="17"/>
      <c r="J165" s="17"/>
    </row>
    <row r="166" spans="9:10" ht="12.75">
      <c r="I166" s="17"/>
      <c r="J166" s="17"/>
    </row>
    <row r="167" spans="9:10" ht="12.75">
      <c r="I167" s="17"/>
      <c r="J167" s="17"/>
    </row>
    <row r="168" spans="9:10" ht="12.75">
      <c r="I168" s="17"/>
      <c r="J168" s="17"/>
    </row>
    <row r="169" spans="9:10" ht="12.75">
      <c r="I169" s="17"/>
      <c r="J169" s="17"/>
    </row>
    <row r="170" spans="9:10" ht="12.75">
      <c r="I170" s="17"/>
      <c r="J170" s="17"/>
    </row>
    <row r="171" spans="9:10" ht="12.75">
      <c r="I171" s="17"/>
      <c r="J171" s="17"/>
    </row>
    <row r="172" spans="9:10" ht="12.75">
      <c r="I172" s="17"/>
      <c r="J172" s="17"/>
    </row>
    <row r="173" spans="9:10" ht="12.75">
      <c r="I173" s="17"/>
      <c r="J173" s="17"/>
    </row>
    <row r="174" spans="9:10" ht="12.75">
      <c r="I174" s="17"/>
      <c r="J174" s="17"/>
    </row>
    <row r="175" spans="9:10" ht="12.75">
      <c r="I175" s="17"/>
      <c r="J175" s="17"/>
    </row>
    <row r="176" spans="9:10" ht="12.75">
      <c r="I176" s="17"/>
      <c r="J176" s="17"/>
    </row>
    <row r="177" spans="9:10" ht="12.75">
      <c r="I177" s="17"/>
      <c r="J177" s="17"/>
    </row>
    <row r="178" spans="9:10" ht="12.75">
      <c r="I178" s="17"/>
      <c r="J178" s="17"/>
    </row>
  </sheetData>
  <sheetProtection/>
  <mergeCells count="10">
    <mergeCell ref="B63:Q63"/>
    <mergeCell ref="B71:Q72"/>
    <mergeCell ref="W4:W5"/>
    <mergeCell ref="B73:Q74"/>
    <mergeCell ref="B76:Q77"/>
    <mergeCell ref="B57:Q57"/>
    <mergeCell ref="B59:Q59"/>
    <mergeCell ref="B60:Q60"/>
    <mergeCell ref="B62:Q62"/>
    <mergeCell ref="V4:V5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3" r:id="rId1"/>
  <rowBreaks count="1" manualBreakCount="1">
    <brk id="5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zoomScalePageLayoutView="0" workbookViewId="0" topLeftCell="A41">
      <selection activeCell="A50" sqref="A50:IV122"/>
    </sheetView>
  </sheetViews>
  <sheetFormatPr defaultColWidth="9.140625" defaultRowHeight="12.75" customHeight="1"/>
  <cols>
    <col min="1" max="1" width="3.28125" style="59" bestFit="1" customWidth="1"/>
    <col min="2" max="2" width="70.8515625" style="7" customWidth="1"/>
    <col min="3" max="4" width="9.140625" style="13" hidden="1" customWidth="1"/>
    <col min="5" max="5" width="10.421875" style="13" hidden="1" customWidth="1"/>
    <col min="6" max="6" width="9.140625" style="13" hidden="1" customWidth="1"/>
    <col min="7" max="10" width="9.140625" style="4" hidden="1" customWidth="1"/>
    <col min="11" max="15" width="9.140625" style="13" hidden="1" customWidth="1"/>
    <col min="16" max="16" width="9.7109375" style="13" hidden="1" customWidth="1"/>
    <col min="17" max="17" width="11.140625" style="13" hidden="1" customWidth="1"/>
    <col min="18" max="18" width="10.7109375" style="13" customWidth="1"/>
    <col min="19" max="19" width="13.57421875" style="13" customWidth="1"/>
    <col min="20" max="22" width="16.00390625" style="13" customWidth="1"/>
    <col min="23" max="23" width="15.28125" style="7" customWidth="1"/>
    <col min="24" max="16384" width="9.140625" style="7" customWidth="1"/>
  </cols>
  <sheetData>
    <row r="1" spans="2:23" ht="12.75" customHeight="1">
      <c r="B1" s="453" t="s">
        <v>63</v>
      </c>
      <c r="C1" s="442"/>
      <c r="D1" s="442"/>
      <c r="E1" s="442"/>
      <c r="F1" s="442"/>
      <c r="G1" s="443"/>
      <c r="H1" s="443"/>
      <c r="I1" s="443"/>
      <c r="J1" s="467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6"/>
    </row>
    <row r="2" spans="2:23" ht="12.75" customHeight="1">
      <c r="B2" s="455" t="s">
        <v>49</v>
      </c>
      <c r="C2" s="456"/>
      <c r="D2" s="456"/>
      <c r="E2" s="456"/>
      <c r="F2" s="456"/>
      <c r="G2" s="17"/>
      <c r="H2" s="17"/>
      <c r="I2" s="17"/>
      <c r="J2" s="8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72"/>
    </row>
    <row r="3" spans="2:23" ht="12.75" customHeight="1" thickBot="1">
      <c r="B3" s="473"/>
      <c r="C3" s="448"/>
      <c r="D3" s="448"/>
      <c r="E3" s="448"/>
      <c r="F3" s="448"/>
      <c r="G3" s="450"/>
      <c r="H3" s="450"/>
      <c r="I3" s="450"/>
      <c r="J3" s="470"/>
      <c r="K3" s="448"/>
      <c r="L3" s="448"/>
      <c r="M3" s="448"/>
      <c r="N3" s="448"/>
      <c r="O3" s="448"/>
      <c r="P3" s="448"/>
      <c r="Q3" s="448"/>
      <c r="R3" s="456"/>
      <c r="S3" s="448"/>
      <c r="T3" s="448"/>
      <c r="U3" s="448"/>
      <c r="V3" s="448"/>
      <c r="W3" s="474"/>
    </row>
    <row r="4" spans="2:23" ht="12.75" customHeight="1" thickBot="1">
      <c r="B4" s="465" t="s">
        <v>53</v>
      </c>
      <c r="C4" s="442"/>
      <c r="D4" s="466"/>
      <c r="E4" s="442"/>
      <c r="F4" s="466"/>
      <c r="G4" s="443"/>
      <c r="H4" s="443"/>
      <c r="I4" s="443"/>
      <c r="J4" s="467"/>
      <c r="K4" s="442"/>
      <c r="L4" s="442"/>
      <c r="M4" s="468"/>
      <c r="N4" s="468"/>
      <c r="O4" s="442"/>
      <c r="P4" s="442"/>
      <c r="Q4" s="442"/>
      <c r="R4" s="538"/>
      <c r="S4" s="684"/>
      <c r="T4" s="621" t="s">
        <v>121</v>
      </c>
      <c r="U4" s="621" t="s">
        <v>121</v>
      </c>
      <c r="V4" s="766" t="s">
        <v>138</v>
      </c>
      <c r="W4" s="766" t="s">
        <v>112</v>
      </c>
    </row>
    <row r="5" spans="2:23" ht="12.75" customHeight="1" thickBot="1">
      <c r="B5" s="469">
        <f>'Voorblad Front page'!B5</f>
        <v>41912</v>
      </c>
      <c r="C5" s="448"/>
      <c r="D5" s="448"/>
      <c r="E5" s="448"/>
      <c r="F5" s="448"/>
      <c r="G5" s="470"/>
      <c r="H5" s="470"/>
      <c r="I5" s="470"/>
      <c r="J5" s="470"/>
      <c r="K5" s="448"/>
      <c r="L5" s="452"/>
      <c r="M5" s="471"/>
      <c r="N5" s="471"/>
      <c r="O5" s="471"/>
      <c r="P5" s="471"/>
      <c r="Q5" s="471"/>
      <c r="R5" s="560"/>
      <c r="S5" s="685"/>
      <c r="T5" s="606" t="s">
        <v>137</v>
      </c>
      <c r="U5" s="606" t="s">
        <v>153</v>
      </c>
      <c r="V5" s="767"/>
      <c r="W5" s="767"/>
    </row>
    <row r="6" spans="2:23" ht="12.75" customHeight="1" thickBot="1">
      <c r="B6" s="326" t="s">
        <v>69</v>
      </c>
      <c r="C6" s="67" t="s">
        <v>7</v>
      </c>
      <c r="D6" s="67" t="s">
        <v>6</v>
      </c>
      <c r="E6" s="68" t="s">
        <v>80</v>
      </c>
      <c r="F6" s="67" t="s">
        <v>5</v>
      </c>
      <c r="G6" s="84" t="s">
        <v>9</v>
      </c>
      <c r="H6" s="53" t="s">
        <v>11</v>
      </c>
      <c r="I6" s="85" t="s">
        <v>39</v>
      </c>
      <c r="J6" s="86" t="s">
        <v>44</v>
      </c>
      <c r="K6" s="53" t="s">
        <v>46</v>
      </c>
      <c r="L6" s="53" t="s">
        <v>54</v>
      </c>
      <c r="M6" s="87" t="s">
        <v>55</v>
      </c>
      <c r="N6" s="53" t="s">
        <v>66</v>
      </c>
      <c r="O6" s="69" t="s">
        <v>73</v>
      </c>
      <c r="P6" s="69" t="s">
        <v>77</v>
      </c>
      <c r="Q6" s="263" t="s">
        <v>84</v>
      </c>
      <c r="R6" s="583" t="s">
        <v>120</v>
      </c>
      <c r="S6" s="263" t="s">
        <v>125</v>
      </c>
      <c r="T6" s="622" t="s">
        <v>123</v>
      </c>
      <c r="U6" s="622" t="s">
        <v>123</v>
      </c>
      <c r="V6" s="650" t="s">
        <v>111</v>
      </c>
      <c r="W6" s="650" t="s">
        <v>111</v>
      </c>
    </row>
    <row r="7" spans="1:23" s="10" customFormat="1" ht="12.75">
      <c r="A7" s="59"/>
      <c r="B7" s="52" t="s">
        <v>59</v>
      </c>
      <c r="C7" s="153">
        <v>1567</v>
      </c>
      <c r="D7" s="151">
        <v>1158.8</v>
      </c>
      <c r="E7" s="152">
        <v>1075</v>
      </c>
      <c r="F7" s="151">
        <v>1280.94</v>
      </c>
      <c r="G7" s="152">
        <v>1111.9</v>
      </c>
      <c r="H7" s="151">
        <v>1174.3</v>
      </c>
      <c r="I7" s="153">
        <v>952.5</v>
      </c>
      <c r="J7" s="152">
        <v>1001.3</v>
      </c>
      <c r="K7" s="151">
        <v>1110</v>
      </c>
      <c r="L7" s="151">
        <v>567.2</v>
      </c>
      <c r="M7" s="151">
        <v>927</v>
      </c>
      <c r="N7" s="404">
        <v>1062</v>
      </c>
      <c r="O7" s="272">
        <v>938.5</v>
      </c>
      <c r="P7" s="272">
        <v>1022.7</v>
      </c>
      <c r="Q7" s="302">
        <v>954</v>
      </c>
      <c r="R7" s="272">
        <v>1063</v>
      </c>
      <c r="S7" s="697">
        <v>1164</v>
      </c>
      <c r="T7" s="607">
        <v>1137</v>
      </c>
      <c r="U7" s="607">
        <v>1137</v>
      </c>
      <c r="V7" s="651">
        <f aca="true" t="shared" si="0" ref="V7:V13">(U7-T7)/T7</f>
        <v>0</v>
      </c>
      <c r="W7" s="651">
        <f aca="true" t="shared" si="1" ref="W7:W13">(U7-S7)/S7</f>
        <v>-0.023195876288659795</v>
      </c>
    </row>
    <row r="8" spans="1:23" s="10" customFormat="1" ht="12.75">
      <c r="A8" s="59"/>
      <c r="B8" s="336" t="s">
        <v>58</v>
      </c>
      <c r="C8" s="334">
        <f>C9/C7</f>
        <v>2.7906828334396936</v>
      </c>
      <c r="D8" s="327">
        <f aca="true" t="shared" si="2" ref="D8:R8">D9/D7</f>
        <v>2.3679668622713153</v>
      </c>
      <c r="E8" s="327">
        <f t="shared" si="2"/>
        <v>2.66046511627907</v>
      </c>
      <c r="F8" s="327">
        <f t="shared" si="2"/>
        <v>3.372523303199213</v>
      </c>
      <c r="G8" s="327">
        <f t="shared" si="2"/>
        <v>2.8118535839553913</v>
      </c>
      <c r="H8" s="327">
        <f t="shared" si="2"/>
        <v>3.5717874478412677</v>
      </c>
      <c r="I8" s="327">
        <f t="shared" si="2"/>
        <v>3.1767979002624673</v>
      </c>
      <c r="J8" s="327">
        <f t="shared" si="2"/>
        <v>3.6722261060621193</v>
      </c>
      <c r="K8" s="327">
        <f t="shared" si="2"/>
        <v>4.422792792792793</v>
      </c>
      <c r="L8" s="327">
        <f t="shared" si="2"/>
        <v>4.285260930888575</v>
      </c>
      <c r="M8" s="327">
        <f t="shared" si="2"/>
        <v>3.0312837108953614</v>
      </c>
      <c r="N8" s="405">
        <f t="shared" si="2"/>
        <v>4.915254237288136</v>
      </c>
      <c r="O8" s="327">
        <f t="shared" si="2"/>
        <v>5.620671283963772</v>
      </c>
      <c r="P8" s="327">
        <f t="shared" si="2"/>
        <v>4.874352204947687</v>
      </c>
      <c r="Q8" s="327">
        <f t="shared" si="2"/>
        <v>4.515723270440252</v>
      </c>
      <c r="R8" s="436">
        <f t="shared" si="2"/>
        <v>4.907808090310442</v>
      </c>
      <c r="S8" s="686">
        <f>S9/S7</f>
        <v>5.329725085910653</v>
      </c>
      <c r="T8" s="586">
        <v>5.813280562884785</v>
      </c>
      <c r="U8" s="586">
        <f>U9/U7</f>
        <v>5.813280562884785</v>
      </c>
      <c r="V8" s="651">
        <f t="shared" si="0"/>
        <v>0</v>
      </c>
      <c r="W8" s="651">
        <f t="shared" si="1"/>
        <v>0.09072803365645087</v>
      </c>
    </row>
    <row r="9" spans="1:23" s="10" customFormat="1" ht="12.75">
      <c r="A9" s="59"/>
      <c r="B9" s="337" t="s">
        <v>75</v>
      </c>
      <c r="C9" s="157">
        <v>4373</v>
      </c>
      <c r="D9" s="155">
        <v>2744</v>
      </c>
      <c r="E9" s="156">
        <v>2860</v>
      </c>
      <c r="F9" s="155">
        <v>4320</v>
      </c>
      <c r="G9" s="156">
        <v>3126.5</v>
      </c>
      <c r="H9" s="155">
        <v>4194.35</v>
      </c>
      <c r="I9" s="157">
        <v>3025.9</v>
      </c>
      <c r="J9" s="156">
        <v>3677</v>
      </c>
      <c r="K9" s="155">
        <v>4909.3</v>
      </c>
      <c r="L9" s="155">
        <v>2430.6</v>
      </c>
      <c r="M9" s="155">
        <v>2810</v>
      </c>
      <c r="N9" s="276">
        <v>5220</v>
      </c>
      <c r="O9" s="158">
        <v>5275</v>
      </c>
      <c r="P9" s="158">
        <v>4985</v>
      </c>
      <c r="Q9" s="303">
        <v>4308</v>
      </c>
      <c r="R9" s="158">
        <v>5217</v>
      </c>
      <c r="S9" s="303">
        <v>6203.8</v>
      </c>
      <c r="T9" s="587">
        <v>6609.7</v>
      </c>
      <c r="U9" s="587">
        <v>6609.7</v>
      </c>
      <c r="V9" s="651">
        <f t="shared" si="0"/>
        <v>0</v>
      </c>
      <c r="W9" s="651">
        <f t="shared" si="1"/>
        <v>0.0654276411231825</v>
      </c>
    </row>
    <row r="10" spans="1:23" s="10" customFormat="1" ht="12.75">
      <c r="A10" s="59"/>
      <c r="B10" s="337" t="s">
        <v>91</v>
      </c>
      <c r="C10" s="339"/>
      <c r="D10" s="332">
        <v>350</v>
      </c>
      <c r="E10" s="332">
        <v>378</v>
      </c>
      <c r="F10" s="332">
        <v>425</v>
      </c>
      <c r="G10" s="332">
        <v>308.7</v>
      </c>
      <c r="H10" s="332">
        <v>323</v>
      </c>
      <c r="I10" s="332">
        <v>250.4</v>
      </c>
      <c r="J10" s="332">
        <v>297</v>
      </c>
      <c r="K10" s="332">
        <v>570</v>
      </c>
      <c r="L10" s="332">
        <v>336</v>
      </c>
      <c r="M10" s="332">
        <v>326.3</v>
      </c>
      <c r="N10" s="406">
        <v>433.9</v>
      </c>
      <c r="O10" s="158">
        <v>306</v>
      </c>
      <c r="P10" s="158">
        <v>408.2</v>
      </c>
      <c r="Q10" s="303">
        <v>373.7</v>
      </c>
      <c r="R10" s="158">
        <v>319.431</v>
      </c>
      <c r="S10" s="303">
        <v>346.869</v>
      </c>
      <c r="T10" s="587">
        <v>370</v>
      </c>
      <c r="U10" s="587">
        <v>370</v>
      </c>
      <c r="V10" s="651">
        <f t="shared" si="0"/>
        <v>0</v>
      </c>
      <c r="W10" s="651">
        <f t="shared" si="1"/>
        <v>0.06668511743626548</v>
      </c>
    </row>
    <row r="11" spans="1:23" s="10" customFormat="1" ht="12.75">
      <c r="A11" s="59"/>
      <c r="B11" s="344" t="s">
        <v>129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406"/>
      <c r="O11" s="158"/>
      <c r="P11" s="158"/>
      <c r="Q11" s="303"/>
      <c r="R11" s="158">
        <v>382.747</v>
      </c>
      <c r="S11" s="303">
        <f>R12</f>
        <v>526.485</v>
      </c>
      <c r="T11" s="587">
        <v>321.361</v>
      </c>
      <c r="U11" s="587">
        <v>321.361</v>
      </c>
      <c r="V11" s="651">
        <f t="shared" si="0"/>
        <v>0</v>
      </c>
      <c r="W11" s="651">
        <f t="shared" si="1"/>
        <v>-0.38961034027560143</v>
      </c>
    </row>
    <row r="12" spans="1:23" s="10" customFormat="1" ht="12.75">
      <c r="A12" s="59"/>
      <c r="B12" s="344" t="s">
        <v>131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406"/>
      <c r="O12" s="158"/>
      <c r="P12" s="158"/>
      <c r="Q12" s="303"/>
      <c r="R12" s="158">
        <v>526.485</v>
      </c>
      <c r="S12" s="303">
        <v>252.026</v>
      </c>
      <c r="T12" s="587">
        <v>261.109</v>
      </c>
      <c r="U12" s="762">
        <v>261.109</v>
      </c>
      <c r="V12" s="651">
        <f t="shared" si="0"/>
        <v>0</v>
      </c>
      <c r="W12" s="651">
        <f t="shared" si="1"/>
        <v>0.03603993238792811</v>
      </c>
    </row>
    <row r="13" spans="1:23" s="10" customFormat="1" ht="13.5" thickBot="1">
      <c r="A13" s="59"/>
      <c r="B13" s="338" t="s">
        <v>92</v>
      </c>
      <c r="C13" s="330">
        <f>C9-C10</f>
        <v>4373</v>
      </c>
      <c r="D13" s="328">
        <f aca="true" t="shared" si="3" ref="D13:Q13">D9-D10</f>
        <v>2394</v>
      </c>
      <c r="E13" s="328">
        <f t="shared" si="3"/>
        <v>2482</v>
      </c>
      <c r="F13" s="328">
        <f t="shared" si="3"/>
        <v>3895</v>
      </c>
      <c r="G13" s="328">
        <f t="shared" si="3"/>
        <v>2817.8</v>
      </c>
      <c r="H13" s="328">
        <f t="shared" si="3"/>
        <v>3871.3500000000004</v>
      </c>
      <c r="I13" s="328">
        <f t="shared" si="3"/>
        <v>2775.5</v>
      </c>
      <c r="J13" s="328">
        <f t="shared" si="3"/>
        <v>3380</v>
      </c>
      <c r="K13" s="328">
        <f t="shared" si="3"/>
        <v>4339.3</v>
      </c>
      <c r="L13" s="328">
        <f t="shared" si="3"/>
        <v>2094.6</v>
      </c>
      <c r="M13" s="328">
        <f t="shared" si="3"/>
        <v>2483.7</v>
      </c>
      <c r="N13" s="331">
        <f t="shared" si="3"/>
        <v>4786.1</v>
      </c>
      <c r="O13" s="407">
        <f t="shared" si="3"/>
        <v>4969</v>
      </c>
      <c r="P13" s="407">
        <f t="shared" si="3"/>
        <v>4576.8</v>
      </c>
      <c r="Q13" s="407">
        <f t="shared" si="3"/>
        <v>3934.3</v>
      </c>
      <c r="R13" s="561">
        <f>R9-R10-R11+R12</f>
        <v>5041.307</v>
      </c>
      <c r="S13" s="687">
        <f>S9-S10-S11+S12</f>
        <v>5582.472000000001</v>
      </c>
      <c r="T13" s="588">
        <v>6179.448</v>
      </c>
      <c r="U13" s="588">
        <f>U9-U10-U11+U12</f>
        <v>6179.448</v>
      </c>
      <c r="V13" s="651">
        <f t="shared" si="0"/>
        <v>0</v>
      </c>
      <c r="W13" s="651">
        <f t="shared" si="1"/>
        <v>0.10693757174241081</v>
      </c>
    </row>
    <row r="14" spans="2:23" ht="13.5" thickBot="1">
      <c r="B14" s="340"/>
      <c r="C14" s="67" t="s">
        <v>3</v>
      </c>
      <c r="D14" s="67" t="s">
        <v>3</v>
      </c>
      <c r="E14" s="68" t="s">
        <v>3</v>
      </c>
      <c r="F14" s="67" t="s">
        <v>3</v>
      </c>
      <c r="G14" s="68" t="s">
        <v>3</v>
      </c>
      <c r="H14" s="90" t="s">
        <v>3</v>
      </c>
      <c r="I14" s="245" t="s">
        <v>3</v>
      </c>
      <c r="J14" s="68" t="s">
        <v>3</v>
      </c>
      <c r="K14" s="67" t="s">
        <v>3</v>
      </c>
      <c r="L14" s="67" t="s">
        <v>3</v>
      </c>
      <c r="M14" s="241" t="s">
        <v>3</v>
      </c>
      <c r="N14" s="67" t="s">
        <v>3</v>
      </c>
      <c r="O14" s="246" t="s">
        <v>3</v>
      </c>
      <c r="P14" s="246" t="s">
        <v>3</v>
      </c>
      <c r="Q14" s="267" t="s">
        <v>3</v>
      </c>
      <c r="R14" s="246" t="s">
        <v>3</v>
      </c>
      <c r="S14" s="267" t="s">
        <v>3</v>
      </c>
      <c r="T14" s="589" t="s">
        <v>4</v>
      </c>
      <c r="U14" s="589" t="s">
        <v>4</v>
      </c>
      <c r="V14" s="651"/>
      <c r="W14" s="651"/>
    </row>
    <row r="15" spans="2:23" ht="13.5" thickBot="1">
      <c r="B15" s="244"/>
      <c r="C15" s="65" t="s">
        <v>0</v>
      </c>
      <c r="D15" s="65" t="s">
        <v>0</v>
      </c>
      <c r="E15" s="54" t="s">
        <v>0</v>
      </c>
      <c r="F15" s="65" t="s">
        <v>0</v>
      </c>
      <c r="G15" s="55" t="s">
        <v>0</v>
      </c>
      <c r="H15" s="81" t="s">
        <v>0</v>
      </c>
      <c r="I15" s="82" t="s">
        <v>0</v>
      </c>
      <c r="J15" s="54" t="s">
        <v>0</v>
      </c>
      <c r="K15" s="65" t="s">
        <v>0</v>
      </c>
      <c r="L15" s="65" t="s">
        <v>0</v>
      </c>
      <c r="M15" s="83" t="s">
        <v>0</v>
      </c>
      <c r="N15" s="65" t="s">
        <v>0</v>
      </c>
      <c r="O15" s="66" t="s">
        <v>0</v>
      </c>
      <c r="P15" s="66" t="s">
        <v>0</v>
      </c>
      <c r="Q15" s="304" t="s">
        <v>0</v>
      </c>
      <c r="R15" s="66" t="s">
        <v>0</v>
      </c>
      <c r="S15" s="304" t="s">
        <v>0</v>
      </c>
      <c r="T15" s="608" t="s">
        <v>0</v>
      </c>
      <c r="U15" s="608" t="s">
        <v>0</v>
      </c>
      <c r="V15" s="651"/>
      <c r="W15" s="651"/>
    </row>
    <row r="16" spans="2:23" ht="12.75" customHeight="1">
      <c r="B16" s="30" t="s">
        <v>21</v>
      </c>
      <c r="C16" s="118"/>
      <c r="D16" s="72"/>
      <c r="E16" s="73"/>
      <c r="F16" s="72"/>
      <c r="G16" s="159"/>
      <c r="H16" s="160"/>
      <c r="I16" s="161"/>
      <c r="J16" s="162"/>
      <c r="K16" s="95"/>
      <c r="L16" s="95"/>
      <c r="M16" s="163"/>
      <c r="N16" s="163"/>
      <c r="O16" s="409"/>
      <c r="P16" s="409"/>
      <c r="Q16" s="410"/>
      <c r="R16" s="409"/>
      <c r="S16" s="410"/>
      <c r="T16" s="609"/>
      <c r="U16" s="609"/>
      <c r="V16" s="651"/>
      <c r="W16" s="651"/>
    </row>
    <row r="17" spans="2:23" ht="12.75" customHeight="1">
      <c r="B17" s="31" t="s">
        <v>60</v>
      </c>
      <c r="C17" s="97">
        <v>445</v>
      </c>
      <c r="D17" s="97">
        <v>1002</v>
      </c>
      <c r="E17" s="99">
        <v>334</v>
      </c>
      <c r="F17" s="97">
        <v>374</v>
      </c>
      <c r="G17" s="94">
        <f>F40</f>
        <v>842</v>
      </c>
      <c r="H17" s="94">
        <f aca="true" t="shared" si="4" ref="H17:Q17">G40</f>
        <v>643</v>
      </c>
      <c r="I17" s="94">
        <f t="shared" si="4"/>
        <v>992</v>
      </c>
      <c r="J17" s="94">
        <f t="shared" si="4"/>
        <v>501</v>
      </c>
      <c r="K17" s="94">
        <f t="shared" si="4"/>
        <v>746</v>
      </c>
      <c r="L17" s="94">
        <f t="shared" si="4"/>
        <v>868</v>
      </c>
      <c r="M17" s="94">
        <f t="shared" si="4"/>
        <v>440</v>
      </c>
      <c r="N17" s="94">
        <f t="shared" si="4"/>
        <v>431</v>
      </c>
      <c r="O17" s="93">
        <f t="shared" si="4"/>
        <v>819</v>
      </c>
      <c r="P17" s="93">
        <f t="shared" si="4"/>
        <v>769</v>
      </c>
      <c r="Q17" s="93">
        <f t="shared" si="4"/>
        <v>727</v>
      </c>
      <c r="R17" s="563">
        <v>476</v>
      </c>
      <c r="S17" s="698">
        <v>660.179</v>
      </c>
      <c r="T17" s="610">
        <v>314.71000000000004</v>
      </c>
      <c r="U17" s="610">
        <f>S40</f>
        <v>314.71000000000004</v>
      </c>
      <c r="V17" s="651">
        <f>(U17-T17)/T17</f>
        <v>0</v>
      </c>
      <c r="W17" s="651">
        <f>(U17-S17)/S17</f>
        <v>-0.5232959545820148</v>
      </c>
    </row>
    <row r="18" spans="2:23" ht="12.75" customHeight="1">
      <c r="B18" s="31" t="s">
        <v>79</v>
      </c>
      <c r="C18" s="97">
        <v>4549</v>
      </c>
      <c r="D18" s="97">
        <v>2442</v>
      </c>
      <c r="E18" s="99">
        <v>2423</v>
      </c>
      <c r="F18" s="97">
        <v>3969</v>
      </c>
      <c r="G18" s="94">
        <v>3300</v>
      </c>
      <c r="H18" s="93">
        <v>3734</v>
      </c>
      <c r="I18" s="165">
        <v>2564</v>
      </c>
      <c r="J18" s="94">
        <v>3446</v>
      </c>
      <c r="K18" s="100">
        <v>3947</v>
      </c>
      <c r="L18" s="100">
        <v>2315</v>
      </c>
      <c r="M18" s="167">
        <v>2573</v>
      </c>
      <c r="N18" s="167">
        <v>4709</v>
      </c>
      <c r="O18" s="105">
        <v>4892</v>
      </c>
      <c r="P18" s="105">
        <v>4498</v>
      </c>
      <c r="Q18" s="307">
        <v>4235</v>
      </c>
      <c r="R18" s="105">
        <v>5049</v>
      </c>
      <c r="S18" s="690">
        <v>5649.791</v>
      </c>
      <c r="T18" s="611">
        <v>6179.448</v>
      </c>
      <c r="U18" s="611">
        <f>U13</f>
        <v>6179.448</v>
      </c>
      <c r="V18" s="651">
        <f>(U18-T18)/T18</f>
        <v>0</v>
      </c>
      <c r="W18" s="651">
        <f>(U18-S18)/S18</f>
        <v>0.0937480696188585</v>
      </c>
    </row>
    <row r="19" spans="2:23" ht="12.75" customHeight="1" thickBot="1">
      <c r="B19" s="78" t="s">
        <v>22</v>
      </c>
      <c r="C19" s="106">
        <v>104</v>
      </c>
      <c r="D19" s="106">
        <v>98</v>
      </c>
      <c r="E19" s="134">
        <v>569</v>
      </c>
      <c r="F19" s="108">
        <v>0</v>
      </c>
      <c r="G19" s="168">
        <v>348</v>
      </c>
      <c r="H19" s="96">
        <v>651</v>
      </c>
      <c r="I19" s="169">
        <v>408</v>
      </c>
      <c r="J19" s="168">
        <v>219</v>
      </c>
      <c r="K19" s="108">
        <v>360</v>
      </c>
      <c r="L19" s="247">
        <v>930</v>
      </c>
      <c r="M19" s="170">
        <v>1074</v>
      </c>
      <c r="N19" s="408">
        <v>27</v>
      </c>
      <c r="O19" s="112">
        <v>27</v>
      </c>
      <c r="P19" s="112">
        <v>0</v>
      </c>
      <c r="Q19" s="308">
        <v>288</v>
      </c>
      <c r="R19" s="112">
        <v>0</v>
      </c>
      <c r="S19" s="308">
        <v>79.682</v>
      </c>
      <c r="T19" s="612">
        <v>0</v>
      </c>
      <c r="U19" s="612">
        <v>0</v>
      </c>
      <c r="V19" s="651"/>
      <c r="W19" s="651"/>
    </row>
    <row r="20" spans="1:23" s="1" customFormat="1" ht="12.75" customHeight="1" thickBot="1">
      <c r="A20" s="59"/>
      <c r="B20" s="34" t="s">
        <v>23</v>
      </c>
      <c r="C20" s="113">
        <f aca="true" t="shared" si="5" ref="C20:I20">SUM(C17:C19)</f>
        <v>5098</v>
      </c>
      <c r="D20" s="113">
        <f t="shared" si="5"/>
        <v>3542</v>
      </c>
      <c r="E20" s="115">
        <f t="shared" si="5"/>
        <v>3326</v>
      </c>
      <c r="F20" s="113">
        <f>SUM(F17:F19)</f>
        <v>4343</v>
      </c>
      <c r="G20" s="171">
        <f t="shared" si="5"/>
        <v>4490</v>
      </c>
      <c r="H20" s="172">
        <f t="shared" si="5"/>
        <v>5028</v>
      </c>
      <c r="I20" s="173">
        <f t="shared" si="5"/>
        <v>3964</v>
      </c>
      <c r="J20" s="171">
        <f aca="true" t="shared" si="6" ref="J20:P20">SUM(J17:J19)</f>
        <v>4166</v>
      </c>
      <c r="K20" s="113">
        <f t="shared" si="6"/>
        <v>5053</v>
      </c>
      <c r="L20" s="113">
        <f t="shared" si="6"/>
        <v>4113</v>
      </c>
      <c r="M20" s="174">
        <f t="shared" si="6"/>
        <v>4087</v>
      </c>
      <c r="N20" s="113">
        <f t="shared" si="6"/>
        <v>5167</v>
      </c>
      <c r="O20" s="117">
        <f t="shared" si="6"/>
        <v>5738</v>
      </c>
      <c r="P20" s="117">
        <f t="shared" si="6"/>
        <v>5267</v>
      </c>
      <c r="Q20" s="309">
        <f>SUM(Q17:Q19)</f>
        <v>5250</v>
      </c>
      <c r="R20" s="117">
        <f>SUM(R17:R19)</f>
        <v>5525</v>
      </c>
      <c r="S20" s="309">
        <f>SUM(S17:S19)</f>
        <v>6389.652</v>
      </c>
      <c r="T20" s="595">
        <v>6494.158</v>
      </c>
      <c r="U20" s="595">
        <f>SUM(U17:U19)</f>
        <v>6494.158</v>
      </c>
      <c r="V20" s="651">
        <f>(U20-T20)/T20</f>
        <v>0</v>
      </c>
      <c r="W20" s="651">
        <f>(U20-S20)/S20</f>
        <v>0.016355507310883335</v>
      </c>
    </row>
    <row r="21" spans="2:23" ht="12.75" customHeight="1">
      <c r="B21" s="33"/>
      <c r="C21" s="72"/>
      <c r="D21" s="72"/>
      <c r="E21" s="73"/>
      <c r="F21" s="72"/>
      <c r="G21" s="159"/>
      <c r="H21" s="160"/>
      <c r="I21" s="175"/>
      <c r="J21" s="159"/>
      <c r="K21" s="121"/>
      <c r="L21" s="121"/>
      <c r="M21" s="176"/>
      <c r="N21" s="123"/>
      <c r="O21" s="124"/>
      <c r="P21" s="124"/>
      <c r="Q21" s="318"/>
      <c r="R21" s="124"/>
      <c r="S21" s="318"/>
      <c r="T21" s="613"/>
      <c r="U21" s="613"/>
      <c r="V21" s="651"/>
      <c r="W21" s="651"/>
    </row>
    <row r="22" spans="2:23" ht="12.75" customHeight="1">
      <c r="B22" s="32" t="s">
        <v>34</v>
      </c>
      <c r="C22" s="125"/>
      <c r="D22" s="97"/>
      <c r="E22" s="99"/>
      <c r="F22" s="97"/>
      <c r="G22" s="94"/>
      <c r="H22" s="93"/>
      <c r="I22" s="165"/>
      <c r="J22" s="94"/>
      <c r="K22" s="100"/>
      <c r="L22" s="100"/>
      <c r="M22" s="166"/>
      <c r="N22" s="100"/>
      <c r="O22" s="105"/>
      <c r="P22" s="105"/>
      <c r="Q22" s="307"/>
      <c r="R22" s="105"/>
      <c r="S22" s="307"/>
      <c r="T22" s="611"/>
      <c r="U22" s="611"/>
      <c r="V22" s="651"/>
      <c r="W22" s="651"/>
    </row>
    <row r="23" spans="2:23" ht="12.75" customHeight="1">
      <c r="B23" s="31" t="s">
        <v>12</v>
      </c>
      <c r="C23" s="97"/>
      <c r="D23" s="97"/>
      <c r="E23" s="99"/>
      <c r="F23" s="97"/>
      <c r="G23" s="94"/>
      <c r="H23" s="93"/>
      <c r="I23" s="165"/>
      <c r="J23" s="94"/>
      <c r="K23" s="100"/>
      <c r="L23" s="100"/>
      <c r="M23" s="166"/>
      <c r="N23" s="100"/>
      <c r="O23" s="105"/>
      <c r="P23" s="105"/>
      <c r="Q23" s="307"/>
      <c r="R23" s="105"/>
      <c r="S23" s="307"/>
      <c r="T23" s="611"/>
      <c r="U23" s="611"/>
      <c r="V23" s="651"/>
      <c r="W23" s="651"/>
    </row>
    <row r="24" spans="2:23" ht="12.75" customHeight="1">
      <c r="B24" s="31" t="s">
        <v>13</v>
      </c>
      <c r="C24" s="97">
        <v>94</v>
      </c>
      <c r="D24" s="97">
        <v>126</v>
      </c>
      <c r="E24" s="99">
        <v>191</v>
      </c>
      <c r="F24" s="97">
        <v>212</v>
      </c>
      <c r="G24" s="94">
        <v>247</v>
      </c>
      <c r="H24" s="93">
        <v>249</v>
      </c>
      <c r="I24" s="165">
        <v>245</v>
      </c>
      <c r="J24" s="94">
        <v>262</v>
      </c>
      <c r="K24" s="100">
        <v>266</v>
      </c>
      <c r="L24" s="100">
        <v>290</v>
      </c>
      <c r="M24" s="167">
        <v>257</v>
      </c>
      <c r="N24" s="100">
        <v>326</v>
      </c>
      <c r="O24" s="105">
        <v>346</v>
      </c>
      <c r="P24" s="105">
        <v>356</v>
      </c>
      <c r="Q24" s="307">
        <v>393</v>
      </c>
      <c r="R24" s="105">
        <v>404</v>
      </c>
      <c r="S24" s="307">
        <v>463.862</v>
      </c>
      <c r="T24" s="611">
        <v>436</v>
      </c>
      <c r="U24" s="611">
        <v>436</v>
      </c>
      <c r="V24" s="651">
        <f>(U24-T24)/T24</f>
        <v>0</v>
      </c>
      <c r="W24" s="651">
        <f>(U24-S24)/S24</f>
        <v>-0.06006527803527778</v>
      </c>
    </row>
    <row r="25" spans="2:23" ht="12.75" customHeight="1">
      <c r="B25" s="31" t="s">
        <v>14</v>
      </c>
      <c r="C25" s="97">
        <v>2705</v>
      </c>
      <c r="D25" s="97">
        <v>2629</v>
      </c>
      <c r="E25" s="99">
        <v>2484</v>
      </c>
      <c r="F25" s="97">
        <v>2285</v>
      </c>
      <c r="G25" s="94">
        <v>2700</v>
      </c>
      <c r="H25" s="93">
        <v>3050</v>
      </c>
      <c r="I25" s="165">
        <v>2775</v>
      </c>
      <c r="J25" s="94">
        <v>2694</v>
      </c>
      <c r="K25" s="100">
        <v>2994</v>
      </c>
      <c r="L25" s="102">
        <v>2976</v>
      </c>
      <c r="M25" s="167">
        <v>3015</v>
      </c>
      <c r="N25" s="100">
        <v>3358</v>
      </c>
      <c r="O25" s="105">
        <v>3739</v>
      </c>
      <c r="P25" s="105">
        <v>2613</v>
      </c>
      <c r="Q25" s="307">
        <v>3160</v>
      </c>
      <c r="R25" s="105">
        <v>3474</v>
      </c>
      <c r="S25" s="307">
        <v>4063.37</v>
      </c>
      <c r="T25" s="611">
        <v>3740.2</v>
      </c>
      <c r="U25" s="611">
        <v>3570</v>
      </c>
      <c r="V25" s="651">
        <f>(U25-T25)/T25</f>
        <v>-0.04550558793647394</v>
      </c>
      <c r="W25" s="651">
        <f>(U25-S25)/S25</f>
        <v>-0.12141892074804901</v>
      </c>
    </row>
    <row r="26" spans="2:23" ht="12.75" customHeight="1">
      <c r="B26" s="31" t="s">
        <v>15</v>
      </c>
      <c r="C26" s="97">
        <f>C25+C24</f>
        <v>2799</v>
      </c>
      <c r="D26" s="97">
        <f aca="true" t="shared" si="7" ref="D26:R26">D25+D24</f>
        <v>2755</v>
      </c>
      <c r="E26" s="97">
        <f t="shared" si="7"/>
        <v>2675</v>
      </c>
      <c r="F26" s="97">
        <f t="shared" si="7"/>
        <v>2497</v>
      </c>
      <c r="G26" s="97">
        <f t="shared" si="7"/>
        <v>2947</v>
      </c>
      <c r="H26" s="97">
        <f t="shared" si="7"/>
        <v>3299</v>
      </c>
      <c r="I26" s="97">
        <f t="shared" si="7"/>
        <v>3020</v>
      </c>
      <c r="J26" s="97">
        <f t="shared" si="7"/>
        <v>2956</v>
      </c>
      <c r="K26" s="97">
        <f t="shared" si="7"/>
        <v>3260</v>
      </c>
      <c r="L26" s="97">
        <f t="shared" si="7"/>
        <v>3266</v>
      </c>
      <c r="M26" s="97">
        <f t="shared" si="7"/>
        <v>3272</v>
      </c>
      <c r="N26" s="97">
        <f t="shared" si="7"/>
        <v>3684</v>
      </c>
      <c r="O26" s="97">
        <f t="shared" si="7"/>
        <v>4085</v>
      </c>
      <c r="P26" s="97">
        <f t="shared" si="7"/>
        <v>2969</v>
      </c>
      <c r="Q26" s="97">
        <f t="shared" si="7"/>
        <v>3553</v>
      </c>
      <c r="R26" s="129">
        <f t="shared" si="7"/>
        <v>3878</v>
      </c>
      <c r="S26" s="312">
        <f>S25+S24</f>
        <v>4527.232</v>
      </c>
      <c r="T26" s="614">
        <v>4176.2</v>
      </c>
      <c r="U26" s="614">
        <f>U25+U24</f>
        <v>4006</v>
      </c>
      <c r="V26" s="651">
        <f>(U26-T26)/T26</f>
        <v>-0.0407547531248503</v>
      </c>
      <c r="W26" s="651">
        <f>(U26-S26)/S26</f>
        <v>-0.11513260199609827</v>
      </c>
    </row>
    <row r="27" spans="2:23" ht="12.75" customHeight="1">
      <c r="B27" s="23" t="s">
        <v>78</v>
      </c>
      <c r="C27" s="97"/>
      <c r="D27" s="97"/>
      <c r="E27" s="99"/>
      <c r="F27" s="97"/>
      <c r="G27" s="94"/>
      <c r="H27" s="93"/>
      <c r="I27" s="165"/>
      <c r="J27" s="94"/>
      <c r="K27" s="100"/>
      <c r="L27" s="100"/>
      <c r="M27" s="166"/>
      <c r="N27" s="100"/>
      <c r="O27" s="105"/>
      <c r="P27" s="105"/>
      <c r="Q27" s="307"/>
      <c r="R27" s="105"/>
      <c r="S27" s="307"/>
      <c r="T27" s="611"/>
      <c r="U27" s="611"/>
      <c r="V27" s="651"/>
      <c r="W27" s="651"/>
    </row>
    <row r="28" spans="2:23" ht="12.75" customHeight="1">
      <c r="B28" s="23" t="s">
        <v>16</v>
      </c>
      <c r="C28" s="97"/>
      <c r="D28" s="97"/>
      <c r="E28" s="99"/>
      <c r="F28" s="97">
        <v>13</v>
      </c>
      <c r="G28" s="94">
        <v>2</v>
      </c>
      <c r="H28" s="93">
        <v>5</v>
      </c>
      <c r="I28" s="165">
        <v>11</v>
      </c>
      <c r="J28" s="94">
        <v>14</v>
      </c>
      <c r="K28" s="100">
        <v>16</v>
      </c>
      <c r="L28" s="100">
        <v>9</v>
      </c>
      <c r="M28" s="166">
        <v>6</v>
      </c>
      <c r="N28" s="100">
        <v>7</v>
      </c>
      <c r="O28" s="105">
        <v>18</v>
      </c>
      <c r="P28" s="105">
        <v>17</v>
      </c>
      <c r="Q28" s="307">
        <v>14</v>
      </c>
      <c r="R28" s="105">
        <v>10</v>
      </c>
      <c r="S28" s="307">
        <v>12.764</v>
      </c>
      <c r="T28" s="611">
        <v>12</v>
      </c>
      <c r="U28" s="611">
        <v>12</v>
      </c>
      <c r="V28" s="651">
        <f>(U28-T28)/T28</f>
        <v>0</v>
      </c>
      <c r="W28" s="651">
        <f>(U28-S28)/S28</f>
        <v>-0.05985584456283292</v>
      </c>
    </row>
    <row r="29" spans="2:23" ht="12.75" customHeight="1">
      <c r="B29" s="23" t="s">
        <v>88</v>
      </c>
      <c r="C29" s="97">
        <v>124</v>
      </c>
      <c r="D29" s="97"/>
      <c r="E29" s="99"/>
      <c r="F29" s="97">
        <v>151</v>
      </c>
      <c r="G29" s="94">
        <v>161</v>
      </c>
      <c r="H29" s="93">
        <v>157</v>
      </c>
      <c r="I29" s="165">
        <v>155</v>
      </c>
      <c r="J29" s="94">
        <v>148</v>
      </c>
      <c r="K29" s="100">
        <v>214</v>
      </c>
      <c r="L29" s="100">
        <v>129</v>
      </c>
      <c r="M29" s="166">
        <v>110</v>
      </c>
      <c r="N29" s="100">
        <v>162</v>
      </c>
      <c r="O29" s="105">
        <v>210</v>
      </c>
      <c r="P29" s="105">
        <v>159</v>
      </c>
      <c r="Q29" s="307">
        <v>96</v>
      </c>
      <c r="R29" s="105">
        <v>102</v>
      </c>
      <c r="S29" s="307">
        <v>116.5</v>
      </c>
      <c r="T29" s="611">
        <v>120</v>
      </c>
      <c r="U29" s="611">
        <v>120</v>
      </c>
      <c r="V29" s="651">
        <f>(U29-T29)/T29</f>
        <v>0</v>
      </c>
      <c r="W29" s="651">
        <f>(U29-S29)/S29</f>
        <v>0.030042918454935622</v>
      </c>
    </row>
    <row r="30" spans="2:23" ht="12.75" customHeight="1">
      <c r="B30" s="23" t="s">
        <v>89</v>
      </c>
      <c r="C30" s="97"/>
      <c r="D30" s="97"/>
      <c r="E30" s="99">
        <v>201</v>
      </c>
      <c r="F30" s="97">
        <v>171</v>
      </c>
      <c r="G30" s="94">
        <v>150</v>
      </c>
      <c r="H30" s="93">
        <v>166</v>
      </c>
      <c r="I30" s="165">
        <v>148</v>
      </c>
      <c r="J30" s="94">
        <v>170</v>
      </c>
      <c r="K30" s="100">
        <v>269</v>
      </c>
      <c r="L30" s="100">
        <v>155</v>
      </c>
      <c r="M30" s="166">
        <v>161</v>
      </c>
      <c r="N30" s="100">
        <v>175</v>
      </c>
      <c r="O30" s="105">
        <v>316</v>
      </c>
      <c r="P30" s="105">
        <v>337</v>
      </c>
      <c r="Q30" s="307">
        <v>358</v>
      </c>
      <c r="R30" s="105">
        <v>383</v>
      </c>
      <c r="S30" s="307">
        <v>237.432</v>
      </c>
      <c r="T30" s="611">
        <v>220</v>
      </c>
      <c r="U30" s="611">
        <v>220</v>
      </c>
      <c r="V30" s="651">
        <f>(U30-T30)/T30</f>
        <v>0</v>
      </c>
      <c r="W30" s="651">
        <f>(U30-S30)/S30</f>
        <v>-0.07341891573166207</v>
      </c>
    </row>
    <row r="31" spans="2:23" ht="12.75" customHeight="1">
      <c r="B31" s="23" t="s">
        <v>90</v>
      </c>
      <c r="C31" s="97">
        <v>0</v>
      </c>
      <c r="D31" s="97">
        <v>115</v>
      </c>
      <c r="E31" s="99">
        <v>21</v>
      </c>
      <c r="F31" s="97">
        <v>42</v>
      </c>
      <c r="G31" s="94">
        <v>64</v>
      </c>
      <c r="H31" s="93">
        <v>38</v>
      </c>
      <c r="I31" s="165">
        <v>13</v>
      </c>
      <c r="J31" s="94">
        <v>12</v>
      </c>
      <c r="K31" s="100">
        <v>33</v>
      </c>
      <c r="L31" s="100">
        <v>-3</v>
      </c>
      <c r="M31" s="167">
        <v>4</v>
      </c>
      <c r="N31" s="100">
        <v>17</v>
      </c>
      <c r="O31" s="105">
        <v>21</v>
      </c>
      <c r="P31" s="105">
        <v>-10</v>
      </c>
      <c r="Q31" s="307">
        <v>-28</v>
      </c>
      <c r="R31" s="105">
        <v>14</v>
      </c>
      <c r="S31" s="307">
        <v>-42.659</v>
      </c>
      <c r="T31" s="611">
        <v>20</v>
      </c>
      <c r="U31" s="611">
        <v>20</v>
      </c>
      <c r="V31" s="651"/>
      <c r="W31" s="651"/>
    </row>
    <row r="32" spans="2:23" ht="12.75" customHeight="1">
      <c r="B32" s="23" t="s">
        <v>15</v>
      </c>
      <c r="C32" s="177">
        <f>SUM(C28:C31)</f>
        <v>124</v>
      </c>
      <c r="D32" s="177">
        <f aca="true" t="shared" si="8" ref="D32:R32">SUM(D28:D31)</f>
        <v>115</v>
      </c>
      <c r="E32" s="177">
        <f t="shared" si="8"/>
        <v>222</v>
      </c>
      <c r="F32" s="177">
        <f t="shared" si="8"/>
        <v>377</v>
      </c>
      <c r="G32" s="177">
        <f t="shared" si="8"/>
        <v>377</v>
      </c>
      <c r="H32" s="177">
        <f t="shared" si="8"/>
        <v>366</v>
      </c>
      <c r="I32" s="177">
        <f t="shared" si="8"/>
        <v>327</v>
      </c>
      <c r="J32" s="177">
        <f t="shared" si="8"/>
        <v>344</v>
      </c>
      <c r="K32" s="177">
        <f t="shared" si="8"/>
        <v>532</v>
      </c>
      <c r="L32" s="177">
        <f t="shared" si="8"/>
        <v>290</v>
      </c>
      <c r="M32" s="177">
        <f t="shared" si="8"/>
        <v>281</v>
      </c>
      <c r="N32" s="177">
        <f t="shared" si="8"/>
        <v>361</v>
      </c>
      <c r="O32" s="177">
        <f t="shared" si="8"/>
        <v>565</v>
      </c>
      <c r="P32" s="177">
        <f t="shared" si="8"/>
        <v>503</v>
      </c>
      <c r="Q32" s="177">
        <f t="shared" si="8"/>
        <v>440</v>
      </c>
      <c r="R32" s="564">
        <f t="shared" si="8"/>
        <v>509</v>
      </c>
      <c r="S32" s="699">
        <f>SUM(S28:S31)</f>
        <v>324.03700000000003</v>
      </c>
      <c r="T32" s="615">
        <v>372</v>
      </c>
      <c r="U32" s="615">
        <f>SUM(U28:U31)</f>
        <v>372</v>
      </c>
      <c r="V32" s="651">
        <f>(U32-T32)/T32</f>
        <v>0</v>
      </c>
      <c r="W32" s="651">
        <f>(U32-S32)/S32</f>
        <v>0.14801704743594082</v>
      </c>
    </row>
    <row r="33" spans="2:23" ht="12.75" customHeight="1">
      <c r="B33" s="31" t="s">
        <v>35</v>
      </c>
      <c r="C33" s="97">
        <f>C26+C32</f>
        <v>2923</v>
      </c>
      <c r="D33" s="97">
        <f aca="true" t="shared" si="9" ref="D33:R33">D26+D32</f>
        <v>2870</v>
      </c>
      <c r="E33" s="97">
        <f t="shared" si="9"/>
        <v>2897</v>
      </c>
      <c r="F33" s="97">
        <f t="shared" si="9"/>
        <v>2874</v>
      </c>
      <c r="G33" s="97">
        <f t="shared" si="9"/>
        <v>3324</v>
      </c>
      <c r="H33" s="97">
        <f t="shared" si="9"/>
        <v>3665</v>
      </c>
      <c r="I33" s="97">
        <f t="shared" si="9"/>
        <v>3347</v>
      </c>
      <c r="J33" s="97">
        <f t="shared" si="9"/>
        <v>3300</v>
      </c>
      <c r="K33" s="97">
        <f t="shared" si="9"/>
        <v>3792</v>
      </c>
      <c r="L33" s="97">
        <f t="shared" si="9"/>
        <v>3556</v>
      </c>
      <c r="M33" s="97">
        <f t="shared" si="9"/>
        <v>3553</v>
      </c>
      <c r="N33" s="97">
        <f t="shared" si="9"/>
        <v>4045</v>
      </c>
      <c r="O33" s="97">
        <f t="shared" si="9"/>
        <v>4650</v>
      </c>
      <c r="P33" s="97">
        <f t="shared" si="9"/>
        <v>3472</v>
      </c>
      <c r="Q33" s="97">
        <f t="shared" si="9"/>
        <v>3993</v>
      </c>
      <c r="R33" s="129">
        <f t="shared" si="9"/>
        <v>4387</v>
      </c>
      <c r="S33" s="312">
        <f>S26+S32</f>
        <v>4851.269</v>
      </c>
      <c r="T33" s="614">
        <v>4548.2</v>
      </c>
      <c r="U33" s="614">
        <f>U26+U32</f>
        <v>4378</v>
      </c>
      <c r="V33" s="651">
        <f>(U33-T33)/T33</f>
        <v>-0.0374213974759245</v>
      </c>
      <c r="W33" s="651">
        <f>(U33-S33)/S33</f>
        <v>-0.09755571171171919</v>
      </c>
    </row>
    <row r="34" spans="2:23" ht="12.75" customHeight="1">
      <c r="B34" s="31" t="s">
        <v>17</v>
      </c>
      <c r="C34" s="97"/>
      <c r="D34" s="97"/>
      <c r="E34" s="99"/>
      <c r="F34" s="97"/>
      <c r="G34" s="94"/>
      <c r="H34" s="93"/>
      <c r="I34" s="165"/>
      <c r="J34" s="94"/>
      <c r="K34" s="100"/>
      <c r="L34" s="100"/>
      <c r="M34" s="166"/>
      <c r="N34" s="100"/>
      <c r="O34" s="105"/>
      <c r="P34" s="105"/>
      <c r="Q34" s="307"/>
      <c r="R34" s="105"/>
      <c r="S34" s="307"/>
      <c r="T34" s="611"/>
      <c r="U34" s="611"/>
      <c r="V34" s="651"/>
      <c r="W34" s="651"/>
    </row>
    <row r="35" spans="2:23" ht="12.75" customHeight="1">
      <c r="B35" s="31" t="s">
        <v>24</v>
      </c>
      <c r="C35" s="97"/>
      <c r="D35" s="97"/>
      <c r="E35" s="99">
        <v>22</v>
      </c>
      <c r="F35" s="97">
        <v>11</v>
      </c>
      <c r="G35" s="94">
        <v>2</v>
      </c>
      <c r="H35" s="93">
        <v>45</v>
      </c>
      <c r="I35" s="165">
        <v>24</v>
      </c>
      <c r="J35" s="94">
        <v>56</v>
      </c>
      <c r="K35" s="100">
        <v>45</v>
      </c>
      <c r="L35" s="100">
        <v>29</v>
      </c>
      <c r="M35" s="166">
        <v>30</v>
      </c>
      <c r="N35" s="100">
        <v>38</v>
      </c>
      <c r="O35" s="105">
        <v>57</v>
      </c>
      <c r="P35" s="105">
        <v>51</v>
      </c>
      <c r="Q35" s="307">
        <v>69</v>
      </c>
      <c r="R35" s="105">
        <v>65</v>
      </c>
      <c r="S35" s="307">
        <v>94.101</v>
      </c>
      <c r="T35" s="611">
        <v>100</v>
      </c>
      <c r="U35" s="611">
        <v>100</v>
      </c>
      <c r="V35" s="651">
        <f>(U35-T35)/T35</f>
        <v>0</v>
      </c>
      <c r="W35" s="651">
        <f>(U35-S35)/S35</f>
        <v>0.06268796293344386</v>
      </c>
    </row>
    <row r="36" spans="2:23" ht="12.75" customHeight="1">
      <c r="B36" s="31" t="s">
        <v>25</v>
      </c>
      <c r="C36" s="97"/>
      <c r="D36" s="97"/>
      <c r="E36" s="99">
        <v>36</v>
      </c>
      <c r="F36" s="97">
        <v>616</v>
      </c>
      <c r="G36" s="94">
        <v>521</v>
      </c>
      <c r="H36" s="93">
        <v>326</v>
      </c>
      <c r="I36" s="165">
        <v>92</v>
      </c>
      <c r="J36" s="94">
        <v>64</v>
      </c>
      <c r="K36" s="46">
        <v>348</v>
      </c>
      <c r="L36" s="132">
        <v>88</v>
      </c>
      <c r="M36" s="178">
        <v>73</v>
      </c>
      <c r="N36" s="132">
        <v>265</v>
      </c>
      <c r="O36" s="103">
        <v>262</v>
      </c>
      <c r="P36" s="103">
        <v>1017</v>
      </c>
      <c r="Q36" s="306">
        <v>712</v>
      </c>
      <c r="R36" s="103">
        <v>413</v>
      </c>
      <c r="S36" s="306">
        <v>1129.572</v>
      </c>
      <c r="T36" s="592">
        <v>1300</v>
      </c>
      <c r="U36" s="592">
        <v>1320</v>
      </c>
      <c r="V36" s="651">
        <f>(U36-T36)/T36</f>
        <v>0.015384615384615385</v>
      </c>
      <c r="W36" s="651">
        <f>(U36-S36)/S36</f>
        <v>0.1685842071156156</v>
      </c>
    </row>
    <row r="37" spans="2:23" ht="12.75" customHeight="1" thickBot="1">
      <c r="B37" s="78" t="s">
        <v>26</v>
      </c>
      <c r="C37" s="106">
        <v>802</v>
      </c>
      <c r="D37" s="106">
        <v>280</v>
      </c>
      <c r="E37" s="134">
        <f>(E35+E36)</f>
        <v>58</v>
      </c>
      <c r="F37" s="106">
        <f>(F35+F36)</f>
        <v>627</v>
      </c>
      <c r="G37" s="168">
        <f>(G35+G36)</f>
        <v>523</v>
      </c>
      <c r="H37" s="96">
        <f>SUM(H35:H36)</f>
        <v>371</v>
      </c>
      <c r="I37" s="169">
        <f>SUM(I35:I36)</f>
        <v>116</v>
      </c>
      <c r="J37" s="168">
        <f>SUM(J35:J36)</f>
        <v>120</v>
      </c>
      <c r="K37" s="106">
        <f aca="true" t="shared" si="10" ref="K37:P37">(K35+K36)</f>
        <v>393</v>
      </c>
      <c r="L37" s="106">
        <f t="shared" si="10"/>
        <v>117</v>
      </c>
      <c r="M37" s="179">
        <f t="shared" si="10"/>
        <v>103</v>
      </c>
      <c r="N37" s="136">
        <f t="shared" si="10"/>
        <v>303</v>
      </c>
      <c r="O37" s="138">
        <f t="shared" si="10"/>
        <v>319</v>
      </c>
      <c r="P37" s="138">
        <f t="shared" si="10"/>
        <v>1068</v>
      </c>
      <c r="Q37" s="313">
        <f>(Q35+Q36)</f>
        <v>781</v>
      </c>
      <c r="R37" s="138">
        <f>(R35+R36)</f>
        <v>478</v>
      </c>
      <c r="S37" s="313">
        <f>(S35+S36)</f>
        <v>1223.6729999999998</v>
      </c>
      <c r="T37" s="616">
        <v>1400</v>
      </c>
      <c r="U37" s="616">
        <f>(U35+U36)</f>
        <v>1420</v>
      </c>
      <c r="V37" s="651">
        <f>(U37-T37)/T37</f>
        <v>0.014285714285714285</v>
      </c>
      <c r="W37" s="651">
        <f>(U37-S37)/S37</f>
        <v>0.16044073866139097</v>
      </c>
    </row>
    <row r="38" spans="1:23" s="1" customFormat="1" ht="12.75" customHeight="1" thickBot="1">
      <c r="A38" s="59"/>
      <c r="B38" s="34" t="s">
        <v>18</v>
      </c>
      <c r="C38" s="113">
        <f aca="true" t="shared" si="11" ref="C38:I38">(C33+C37)</f>
        <v>3725</v>
      </c>
      <c r="D38" s="113">
        <f t="shared" si="11"/>
        <v>3150</v>
      </c>
      <c r="E38" s="115">
        <f t="shared" si="11"/>
        <v>2955</v>
      </c>
      <c r="F38" s="113">
        <f t="shared" si="11"/>
        <v>3501</v>
      </c>
      <c r="G38" s="171">
        <f t="shared" si="11"/>
        <v>3847</v>
      </c>
      <c r="H38" s="172">
        <f t="shared" si="11"/>
        <v>4036</v>
      </c>
      <c r="I38" s="173">
        <f t="shared" si="11"/>
        <v>3463</v>
      </c>
      <c r="J38" s="171">
        <f aca="true" t="shared" si="12" ref="J38:P38">(J33+J37)</f>
        <v>3420</v>
      </c>
      <c r="K38" s="113">
        <f t="shared" si="12"/>
        <v>4185</v>
      </c>
      <c r="L38" s="113">
        <f t="shared" si="12"/>
        <v>3673</v>
      </c>
      <c r="M38" s="174">
        <f t="shared" si="12"/>
        <v>3656</v>
      </c>
      <c r="N38" s="113">
        <f t="shared" si="12"/>
        <v>4348</v>
      </c>
      <c r="O38" s="117">
        <f t="shared" si="12"/>
        <v>4969</v>
      </c>
      <c r="P38" s="117">
        <f t="shared" si="12"/>
        <v>4540</v>
      </c>
      <c r="Q38" s="309">
        <f>(Q33+Q37)</f>
        <v>4774</v>
      </c>
      <c r="R38" s="117">
        <f>(R33+R37)</f>
        <v>4865</v>
      </c>
      <c r="S38" s="309">
        <f>(S33+S37)</f>
        <v>6074.942</v>
      </c>
      <c r="T38" s="595">
        <v>5948.2</v>
      </c>
      <c r="U38" s="595">
        <f>(U33+U37)</f>
        <v>5798</v>
      </c>
      <c r="V38" s="651">
        <f>(U38-T38)/T38</f>
        <v>-0.02525133653878481</v>
      </c>
      <c r="W38" s="651">
        <f>(U38-S38)/S38</f>
        <v>-0.04558759573342429</v>
      </c>
    </row>
    <row r="39" spans="2:23" ht="12.75" customHeight="1" thickBot="1">
      <c r="B39" s="79"/>
      <c r="C39" s="139"/>
      <c r="D39" s="139"/>
      <c r="E39" s="141"/>
      <c r="F39" s="139"/>
      <c r="G39" s="180"/>
      <c r="H39" s="181"/>
      <c r="I39" s="182"/>
      <c r="J39" s="180"/>
      <c r="K39" s="142"/>
      <c r="L39" s="142"/>
      <c r="M39" s="183"/>
      <c r="N39" s="142"/>
      <c r="O39" s="144"/>
      <c r="P39" s="144"/>
      <c r="Q39" s="314"/>
      <c r="R39" s="144"/>
      <c r="S39" s="314"/>
      <c r="T39" s="617"/>
      <c r="U39" s="617"/>
      <c r="V39" s="651"/>
      <c r="W39" s="651"/>
    </row>
    <row r="40" spans="1:23" s="1" customFormat="1" ht="12.75" customHeight="1" thickBot="1">
      <c r="A40" s="59"/>
      <c r="B40" s="34" t="s">
        <v>19</v>
      </c>
      <c r="C40" s="319">
        <f aca="true" t="shared" si="13" ref="C40:P40">+C18+C17+C19-C38</f>
        <v>1373</v>
      </c>
      <c r="D40" s="319">
        <f t="shared" si="13"/>
        <v>392</v>
      </c>
      <c r="E40" s="319">
        <f t="shared" si="13"/>
        <v>371</v>
      </c>
      <c r="F40" s="319">
        <f t="shared" si="13"/>
        <v>842</v>
      </c>
      <c r="G40" s="319">
        <f t="shared" si="13"/>
        <v>643</v>
      </c>
      <c r="H40" s="319">
        <f t="shared" si="13"/>
        <v>992</v>
      </c>
      <c r="I40" s="319">
        <f t="shared" si="13"/>
        <v>501</v>
      </c>
      <c r="J40" s="319">
        <f t="shared" si="13"/>
        <v>746</v>
      </c>
      <c r="K40" s="319">
        <f t="shared" si="13"/>
        <v>868</v>
      </c>
      <c r="L40" s="319">
        <f t="shared" si="13"/>
        <v>440</v>
      </c>
      <c r="M40" s="319">
        <f t="shared" si="13"/>
        <v>431</v>
      </c>
      <c r="N40" s="319">
        <f t="shared" si="13"/>
        <v>819</v>
      </c>
      <c r="O40" s="319">
        <f t="shared" si="13"/>
        <v>769</v>
      </c>
      <c r="P40" s="319">
        <f t="shared" si="13"/>
        <v>727</v>
      </c>
      <c r="Q40" s="319">
        <f>+Q18+Q17+Q19-Q38</f>
        <v>476</v>
      </c>
      <c r="R40" s="565">
        <f>R20-R38</f>
        <v>660</v>
      </c>
      <c r="S40" s="319">
        <f>S20-S38</f>
        <v>314.71000000000004</v>
      </c>
      <c r="T40" s="618">
        <v>545.9580000000005</v>
      </c>
      <c r="U40" s="618">
        <f>U20-U38</f>
        <v>696.1580000000004</v>
      </c>
      <c r="V40" s="651">
        <f>(U40-T40)/T40</f>
        <v>0.27511273760985216</v>
      </c>
      <c r="W40" s="651">
        <f>(U40-S40)/S40</f>
        <v>1.2120618982555378</v>
      </c>
    </row>
    <row r="41" spans="2:23" ht="12.75" customHeight="1">
      <c r="B41" s="223"/>
      <c r="C41" s="228"/>
      <c r="D41" s="228"/>
      <c r="E41" s="229"/>
      <c r="F41" s="228"/>
      <c r="G41" s="230"/>
      <c r="H41" s="231"/>
      <c r="I41" s="232"/>
      <c r="J41" s="230"/>
      <c r="K41" s="123"/>
      <c r="L41" s="123"/>
      <c r="M41" s="233"/>
      <c r="N41" s="123"/>
      <c r="O41" s="124"/>
      <c r="P41" s="124"/>
      <c r="Q41" s="318"/>
      <c r="R41" s="124"/>
      <c r="S41" s="318"/>
      <c r="T41" s="613"/>
      <c r="U41" s="613"/>
      <c r="V41" s="651"/>
      <c r="W41" s="651"/>
    </row>
    <row r="42" spans="2:23" ht="12.75" customHeight="1">
      <c r="B42" s="31" t="s">
        <v>20</v>
      </c>
      <c r="C42" s="97">
        <f aca="true" t="shared" si="14" ref="C42:I42">(C26/12*1.5)</f>
        <v>349.875</v>
      </c>
      <c r="D42" s="97">
        <f t="shared" si="14"/>
        <v>344.375</v>
      </c>
      <c r="E42" s="99">
        <f t="shared" si="14"/>
        <v>334.375</v>
      </c>
      <c r="F42" s="97">
        <f t="shared" si="14"/>
        <v>312.125</v>
      </c>
      <c r="G42" s="94">
        <f t="shared" si="14"/>
        <v>368.375</v>
      </c>
      <c r="H42" s="93">
        <f t="shared" si="14"/>
        <v>412.375</v>
      </c>
      <c r="I42" s="165">
        <f t="shared" si="14"/>
        <v>377.5</v>
      </c>
      <c r="J42" s="94">
        <v>420</v>
      </c>
      <c r="K42" s="97">
        <f aca="true" t="shared" si="15" ref="K42:R42">(K26/12*1.5)</f>
        <v>407.5</v>
      </c>
      <c r="L42" s="97">
        <f t="shared" si="15"/>
        <v>408.25</v>
      </c>
      <c r="M42" s="177">
        <f t="shared" si="15"/>
        <v>409</v>
      </c>
      <c r="N42" s="97">
        <f t="shared" si="15"/>
        <v>460.5</v>
      </c>
      <c r="O42" s="129">
        <f t="shared" si="15"/>
        <v>510.625</v>
      </c>
      <c r="P42" s="129">
        <f t="shared" si="15"/>
        <v>371.125</v>
      </c>
      <c r="Q42" s="312">
        <f t="shared" si="15"/>
        <v>444.125</v>
      </c>
      <c r="R42" s="129">
        <f t="shared" si="15"/>
        <v>484.75</v>
      </c>
      <c r="S42" s="312">
        <f>(S26/12*1.5)</f>
        <v>565.904</v>
      </c>
      <c r="T42" s="614">
        <v>522.025</v>
      </c>
      <c r="U42" s="614">
        <f>(U26/12*1.5)</f>
        <v>500.75</v>
      </c>
      <c r="V42" s="651">
        <f>(U42-T42)/T42</f>
        <v>-0.0407547531248503</v>
      </c>
      <c r="W42" s="651">
        <f>(U42-S42)/S42</f>
        <v>-0.11513260199609827</v>
      </c>
    </row>
    <row r="43" spans="2:23" ht="12.75" customHeight="1">
      <c r="B43" s="31"/>
      <c r="C43" s="97"/>
      <c r="D43" s="97"/>
      <c r="E43" s="99"/>
      <c r="F43" s="97"/>
      <c r="G43" s="94"/>
      <c r="H43" s="93"/>
      <c r="I43" s="165"/>
      <c r="J43" s="94"/>
      <c r="K43" s="46"/>
      <c r="L43" s="46"/>
      <c r="M43" s="178"/>
      <c r="N43" s="46"/>
      <c r="O43" s="146"/>
      <c r="P43" s="146"/>
      <c r="Q43" s="316"/>
      <c r="R43" s="146"/>
      <c r="S43" s="316"/>
      <c r="T43" s="619"/>
      <c r="U43" s="619"/>
      <c r="V43" s="651"/>
      <c r="W43" s="651"/>
    </row>
    <row r="44" spans="1:23" s="1" customFormat="1" ht="12.75" customHeight="1" thickBot="1">
      <c r="A44" s="59"/>
      <c r="B44" s="80" t="s">
        <v>61</v>
      </c>
      <c r="C44" s="184">
        <f aca="true" t="shared" si="16" ref="C44:K44">+C40-C42</f>
        <v>1023.125</v>
      </c>
      <c r="D44" s="184">
        <f t="shared" si="16"/>
        <v>47.625</v>
      </c>
      <c r="E44" s="184">
        <f t="shared" si="16"/>
        <v>36.625</v>
      </c>
      <c r="F44" s="184">
        <f t="shared" si="16"/>
        <v>529.875</v>
      </c>
      <c r="G44" s="185">
        <f t="shared" si="16"/>
        <v>274.625</v>
      </c>
      <c r="H44" s="186">
        <f t="shared" si="16"/>
        <v>579.625</v>
      </c>
      <c r="I44" s="187">
        <f t="shared" si="16"/>
        <v>123.5</v>
      </c>
      <c r="J44" s="185">
        <f t="shared" si="16"/>
        <v>326</v>
      </c>
      <c r="K44" s="147">
        <f t="shared" si="16"/>
        <v>460.5</v>
      </c>
      <c r="L44" s="147">
        <f>L40-L42</f>
        <v>31.75</v>
      </c>
      <c r="M44" s="188">
        <f aca="true" t="shared" si="17" ref="M44:R44">+M40-M42</f>
        <v>22</v>
      </c>
      <c r="N44" s="147">
        <f t="shared" si="17"/>
        <v>358.5</v>
      </c>
      <c r="O44" s="150">
        <f t="shared" si="17"/>
        <v>258.375</v>
      </c>
      <c r="P44" s="150">
        <f t="shared" si="17"/>
        <v>355.875</v>
      </c>
      <c r="Q44" s="317">
        <f t="shared" si="17"/>
        <v>31.875</v>
      </c>
      <c r="R44" s="150">
        <f t="shared" si="17"/>
        <v>175.25</v>
      </c>
      <c r="S44" s="700">
        <f>+S40-S42</f>
        <v>-251.19399999999996</v>
      </c>
      <c r="T44" s="620">
        <v>23.93300000000056</v>
      </c>
      <c r="U44" s="620">
        <f>+U40-U42</f>
        <v>195.40800000000036</v>
      </c>
      <c r="V44" s="651">
        <f>(U44-T44)/T44</f>
        <v>7.164793381523243</v>
      </c>
      <c r="W44" s="651">
        <f>(U44-S44)/S44</f>
        <v>-1.7779166699841573</v>
      </c>
    </row>
    <row r="45" spans="2:23" ht="12.75" customHeight="1" thickBot="1">
      <c r="B45" s="522"/>
      <c r="C45" s="523"/>
      <c r="D45" s="523"/>
      <c r="E45" s="523"/>
      <c r="F45" s="523"/>
      <c r="G45" s="524"/>
      <c r="H45" s="524"/>
      <c r="I45" s="524"/>
      <c r="J45" s="524"/>
      <c r="K45" s="523"/>
      <c r="L45" s="523"/>
      <c r="M45" s="523"/>
      <c r="N45" s="525"/>
      <c r="O45" s="526"/>
      <c r="P45" s="526"/>
      <c r="Q45" s="526"/>
      <c r="R45" s="526"/>
      <c r="S45" s="526"/>
      <c r="T45" s="526"/>
      <c r="U45" s="526"/>
      <c r="V45" s="517"/>
      <c r="W45" s="517"/>
    </row>
    <row r="46" spans="2:23" ht="12.75">
      <c r="B46" s="510" t="s">
        <v>82</v>
      </c>
      <c r="C46" s="511">
        <f>C40/C33</f>
        <v>0.46972288744440643</v>
      </c>
      <c r="D46" s="511">
        <f aca="true" t="shared" si="18" ref="D46:K46">D40/D33</f>
        <v>0.13658536585365855</v>
      </c>
      <c r="E46" s="511">
        <f t="shared" si="18"/>
        <v>0.12806351397997928</v>
      </c>
      <c r="F46" s="511">
        <f t="shared" si="18"/>
        <v>0.2929714683368128</v>
      </c>
      <c r="G46" s="511">
        <f t="shared" si="18"/>
        <v>0.1934416365824308</v>
      </c>
      <c r="H46" s="511">
        <f t="shared" si="18"/>
        <v>0.27066848567530694</v>
      </c>
      <c r="I46" s="511">
        <f t="shared" si="18"/>
        <v>0.14968628622647145</v>
      </c>
      <c r="J46" s="511">
        <f t="shared" si="18"/>
        <v>0.22606060606060607</v>
      </c>
      <c r="K46" s="511">
        <f t="shared" si="18"/>
        <v>0.2289029535864979</v>
      </c>
      <c r="L46" s="511">
        <f aca="true" t="shared" si="19" ref="L46:Q46">L40/L33</f>
        <v>0.12373453318335208</v>
      </c>
      <c r="M46" s="511">
        <f t="shared" si="19"/>
        <v>0.12130593864339995</v>
      </c>
      <c r="N46" s="511">
        <f t="shared" si="19"/>
        <v>0.20247218788627935</v>
      </c>
      <c r="O46" s="512">
        <f t="shared" si="19"/>
        <v>0.1653763440860215</v>
      </c>
      <c r="P46" s="512">
        <f t="shared" si="19"/>
        <v>0.20938940092165897</v>
      </c>
      <c r="Q46" s="513">
        <f t="shared" si="19"/>
        <v>0.11920861507638367</v>
      </c>
      <c r="R46" s="512">
        <f>R40/R33</f>
        <v>0.1504444950991566</v>
      </c>
      <c r="S46" s="513">
        <f>S40/S33</f>
        <v>0.06487168615057215</v>
      </c>
      <c r="T46" s="604">
        <v>0.12003825689283686</v>
      </c>
      <c r="U46" s="604">
        <f>U40/U33</f>
        <v>0.1590127912288717</v>
      </c>
      <c r="V46" s="653">
        <f>(U46-T46)/T46</f>
        <v>0.32468427437120356</v>
      </c>
      <c r="W46" s="653">
        <f>(U46-S46)/S46</f>
        <v>1.4511894273842498</v>
      </c>
    </row>
    <row r="47" spans="2:23" ht="26.25" thickBot="1">
      <c r="B47" s="498" t="s">
        <v>74</v>
      </c>
      <c r="C47" s="514">
        <f aca="true" t="shared" si="20" ref="C47:K47">C40/C38</f>
        <v>0.3685906040268456</v>
      </c>
      <c r="D47" s="514">
        <f t="shared" si="20"/>
        <v>0.12444444444444444</v>
      </c>
      <c r="E47" s="514">
        <f t="shared" si="20"/>
        <v>0.12554991539763113</v>
      </c>
      <c r="F47" s="514">
        <f t="shared" si="20"/>
        <v>0.2405027135104256</v>
      </c>
      <c r="G47" s="514">
        <f t="shared" si="20"/>
        <v>0.16714322848973226</v>
      </c>
      <c r="H47" s="514">
        <f t="shared" si="20"/>
        <v>0.24578790882061446</v>
      </c>
      <c r="I47" s="514">
        <f t="shared" si="20"/>
        <v>0.14467224949465782</v>
      </c>
      <c r="J47" s="514">
        <f t="shared" si="20"/>
        <v>0.21812865497076023</v>
      </c>
      <c r="K47" s="514">
        <f t="shared" si="20"/>
        <v>0.2074074074074074</v>
      </c>
      <c r="L47" s="514">
        <f aca="true" t="shared" si="21" ref="L47:Q47">L40/L38</f>
        <v>0.1197930846719303</v>
      </c>
      <c r="M47" s="514">
        <f t="shared" si="21"/>
        <v>0.11788840262582057</v>
      </c>
      <c r="N47" s="514">
        <f t="shared" si="21"/>
        <v>0.18836246550137994</v>
      </c>
      <c r="O47" s="515">
        <f t="shared" si="21"/>
        <v>0.15475950895552426</v>
      </c>
      <c r="P47" s="515">
        <f t="shared" si="21"/>
        <v>0.16013215859030838</v>
      </c>
      <c r="Q47" s="516">
        <f t="shared" si="21"/>
        <v>0.09970674486803519</v>
      </c>
      <c r="R47" s="515">
        <f>R40/R38</f>
        <v>0.13566289825282632</v>
      </c>
      <c r="S47" s="516">
        <f>S40/S38</f>
        <v>0.05180460982178925</v>
      </c>
      <c r="T47" s="605">
        <v>0.09178541407484626</v>
      </c>
      <c r="U47" s="605">
        <f>U40/U38</f>
        <v>0.12006864436012424</v>
      </c>
      <c r="V47" s="652">
        <f>(U47-T47)/T47</f>
        <v>0.30814515106086965</v>
      </c>
      <c r="W47" s="652">
        <f>(U47-S47)/S47</f>
        <v>1.3177212370321305</v>
      </c>
    </row>
    <row r="48" spans="2:23" ht="12.75">
      <c r="B48" s="536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1"/>
      <c r="P48" s="531"/>
      <c r="Q48" s="532"/>
      <c r="R48" s="537"/>
      <c r="S48" s="531"/>
      <c r="T48" s="531"/>
      <c r="U48" s="519"/>
      <c r="V48" s="519"/>
      <c r="W48" s="521"/>
    </row>
    <row r="49" spans="2:23" ht="12.75">
      <c r="B49" s="51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19"/>
      <c r="P49" s="519"/>
      <c r="Q49" s="520"/>
      <c r="R49" s="519"/>
      <c r="S49" s="519"/>
      <c r="T49" s="519"/>
      <c r="U49" s="519"/>
      <c r="V49" s="519"/>
      <c r="W49" s="521"/>
    </row>
    <row r="50" spans="2:23" ht="12.75">
      <c r="B50" s="51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19"/>
      <c r="P50" s="519"/>
      <c r="Q50" s="520"/>
      <c r="R50" s="519"/>
      <c r="S50" s="519"/>
      <c r="T50" s="519"/>
      <c r="U50" s="519"/>
      <c r="V50" s="519"/>
      <c r="W50" s="521"/>
    </row>
    <row r="51" spans="2:22" ht="12.75">
      <c r="B51" s="58" t="s">
        <v>110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2.75">
      <c r="B52" s="58" t="s">
        <v>109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2.75">
      <c r="B53" s="5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8" ht="12.75" customHeight="1">
      <c r="B54" s="1" t="s">
        <v>27</v>
      </c>
      <c r="C54" s="11"/>
      <c r="G54" s="9"/>
      <c r="H54" s="9"/>
    </row>
    <row r="55" spans="2:8" ht="12.75" customHeight="1">
      <c r="B55" s="49"/>
      <c r="G55" s="9"/>
      <c r="H55" s="9"/>
    </row>
    <row r="56" spans="2:18" ht="0.75" customHeight="1">
      <c r="B56" s="427"/>
      <c r="C56" s="422"/>
      <c r="D56" s="422"/>
      <c r="E56" s="422"/>
      <c r="F56" s="422"/>
      <c r="G56" s="428"/>
      <c r="H56" s="428"/>
      <c r="I56" s="428"/>
      <c r="J56" s="428"/>
      <c r="K56" s="422"/>
      <c r="L56" s="422"/>
      <c r="M56" s="422"/>
      <c r="N56" s="422"/>
      <c r="O56" s="422"/>
      <c r="P56" s="422"/>
      <c r="Q56" s="422"/>
      <c r="R56" s="422"/>
    </row>
    <row r="57" spans="2:18" ht="12.75" customHeight="1">
      <c r="B57" s="427"/>
      <c r="C57" s="422"/>
      <c r="D57" s="422"/>
      <c r="E57" s="422"/>
      <c r="F57" s="422"/>
      <c r="G57" s="428"/>
      <c r="H57" s="428"/>
      <c r="I57" s="428"/>
      <c r="J57" s="428"/>
      <c r="K57" s="422"/>
      <c r="L57" s="422"/>
      <c r="M57" s="422"/>
      <c r="N57" s="422"/>
      <c r="O57" s="422"/>
      <c r="P57" s="422"/>
      <c r="Q57" s="422"/>
      <c r="R57" s="422"/>
    </row>
    <row r="58" spans="1:18" ht="12.75" customHeight="1">
      <c r="A58" s="59">
        <v>1</v>
      </c>
      <c r="B58" s="427" t="s">
        <v>156</v>
      </c>
      <c r="C58" s="11"/>
      <c r="D58" s="422"/>
      <c r="E58" s="422"/>
      <c r="F58" s="422"/>
      <c r="G58" s="428"/>
      <c r="H58" s="428"/>
      <c r="I58" s="428"/>
      <c r="J58" s="428"/>
      <c r="K58" s="422"/>
      <c r="L58" s="422"/>
      <c r="M58" s="422"/>
      <c r="N58" s="422"/>
      <c r="O58" s="422"/>
      <c r="P58" s="422"/>
      <c r="Q58" s="422"/>
      <c r="R58" s="422"/>
    </row>
    <row r="59" spans="2:18" ht="12.75" customHeight="1">
      <c r="B59" s="421"/>
      <c r="C59" s="11"/>
      <c r="D59" s="422"/>
      <c r="E59" s="422"/>
      <c r="F59" s="422"/>
      <c r="G59" s="428"/>
      <c r="H59" s="428"/>
      <c r="I59" s="428"/>
      <c r="J59" s="428"/>
      <c r="K59" s="422"/>
      <c r="L59" s="422"/>
      <c r="M59" s="422"/>
      <c r="N59" s="422"/>
      <c r="O59" s="422"/>
      <c r="P59" s="422"/>
      <c r="Q59" s="422"/>
      <c r="R59" s="422"/>
    </row>
    <row r="60" spans="2:18" ht="12" customHeight="1">
      <c r="B60" s="421"/>
      <c r="C60" s="11"/>
      <c r="D60" s="422"/>
      <c r="E60" s="422"/>
      <c r="F60" s="422"/>
      <c r="G60" s="428"/>
      <c r="H60" s="428"/>
      <c r="I60" s="428"/>
      <c r="J60" s="428"/>
      <c r="K60" s="422"/>
      <c r="L60" s="422"/>
      <c r="M60" s="422"/>
      <c r="N60" s="422"/>
      <c r="O60" s="422"/>
      <c r="P60" s="422"/>
      <c r="Q60" s="422"/>
      <c r="R60" s="422"/>
    </row>
    <row r="61" spans="2:22" ht="12.75">
      <c r="B61" s="421"/>
      <c r="C61" s="422"/>
      <c r="D61" s="422"/>
      <c r="E61" s="422"/>
      <c r="F61" s="422"/>
      <c r="G61" s="423"/>
      <c r="H61" s="423"/>
      <c r="I61" s="424"/>
      <c r="J61" s="429"/>
      <c r="K61" s="425"/>
      <c r="L61" s="421"/>
      <c r="M61" s="421"/>
      <c r="N61" s="421"/>
      <c r="O61" s="421"/>
      <c r="P61" s="421"/>
      <c r="Q61" s="421"/>
      <c r="R61" s="421"/>
      <c r="S61" s="7"/>
      <c r="T61" s="7"/>
      <c r="U61" s="7"/>
      <c r="V61" s="7"/>
    </row>
    <row r="62" spans="1:18" ht="12.75" customHeight="1">
      <c r="A62" s="59">
        <v>2</v>
      </c>
      <c r="B62" s="421" t="s">
        <v>144</v>
      </c>
      <c r="C62" s="422"/>
      <c r="D62" s="422"/>
      <c r="E62" s="422"/>
      <c r="F62" s="422"/>
      <c r="G62" s="428"/>
      <c r="H62" s="428"/>
      <c r="I62" s="428"/>
      <c r="J62" s="428"/>
      <c r="K62" s="422"/>
      <c r="L62" s="422"/>
      <c r="M62" s="422"/>
      <c r="N62" s="422"/>
      <c r="O62" s="422"/>
      <c r="P62" s="422"/>
      <c r="Q62" s="422"/>
      <c r="R62" s="422"/>
    </row>
    <row r="63" spans="2:18" ht="12" customHeight="1">
      <c r="B63" s="421"/>
      <c r="C63" s="422"/>
      <c r="D63" s="422"/>
      <c r="E63" s="422"/>
      <c r="F63" s="422"/>
      <c r="G63" s="428"/>
      <c r="H63" s="428"/>
      <c r="I63" s="428"/>
      <c r="J63" s="428"/>
      <c r="K63" s="422"/>
      <c r="L63" s="422"/>
      <c r="M63" s="422"/>
      <c r="N63" s="422"/>
      <c r="O63" s="422"/>
      <c r="P63" s="422"/>
      <c r="Q63" s="422"/>
      <c r="R63" s="422"/>
    </row>
    <row r="64" spans="2:22" ht="12.75">
      <c r="B64" s="421"/>
      <c r="C64" s="422"/>
      <c r="D64" s="422"/>
      <c r="E64" s="422"/>
      <c r="F64" s="422"/>
      <c r="G64" s="423"/>
      <c r="H64" s="423"/>
      <c r="I64" s="424"/>
      <c r="J64" s="429"/>
      <c r="K64" s="425"/>
      <c r="L64" s="421"/>
      <c r="M64" s="421"/>
      <c r="N64" s="421"/>
      <c r="O64" s="421"/>
      <c r="P64" s="421"/>
      <c r="Q64" s="421"/>
      <c r="R64" s="421"/>
      <c r="S64" s="7"/>
      <c r="T64" s="7"/>
      <c r="U64" s="7"/>
      <c r="V64" s="7"/>
    </row>
    <row r="65" spans="1:18" ht="12.75" customHeight="1">
      <c r="A65" s="59">
        <v>3</v>
      </c>
      <c r="B65" s="421" t="s">
        <v>145</v>
      </c>
      <c r="C65" s="422"/>
      <c r="D65" s="422"/>
      <c r="E65" s="422"/>
      <c r="F65" s="422"/>
      <c r="G65" s="428"/>
      <c r="H65" s="428"/>
      <c r="I65" s="428"/>
      <c r="J65" s="428"/>
      <c r="K65" s="422"/>
      <c r="L65" s="422"/>
      <c r="M65" s="422"/>
      <c r="N65" s="422"/>
      <c r="O65" s="422"/>
      <c r="P65" s="422"/>
      <c r="Q65" s="422"/>
      <c r="R65" s="422"/>
    </row>
    <row r="66" spans="2:18" ht="12.75" customHeight="1">
      <c r="B66" s="421"/>
      <c r="C66" s="422"/>
      <c r="D66" s="422"/>
      <c r="E66" s="422"/>
      <c r="F66" s="422"/>
      <c r="G66" s="428"/>
      <c r="H66" s="428"/>
      <c r="I66" s="428"/>
      <c r="J66" s="428"/>
      <c r="K66" s="422"/>
      <c r="L66" s="422"/>
      <c r="M66" s="422"/>
      <c r="N66" s="422"/>
      <c r="O66" s="422"/>
      <c r="P66" s="422"/>
      <c r="Q66" s="422"/>
      <c r="R66" s="422"/>
    </row>
    <row r="67" spans="2:22" ht="0.75" customHeight="1">
      <c r="B67" s="422"/>
      <c r="C67" s="422"/>
      <c r="D67" s="422"/>
      <c r="E67" s="422"/>
      <c r="F67" s="422"/>
      <c r="G67" s="423"/>
      <c r="H67" s="423"/>
      <c r="I67" s="424"/>
      <c r="J67" s="424"/>
      <c r="K67" s="425"/>
      <c r="L67" s="421"/>
      <c r="M67" s="421"/>
      <c r="N67" s="421"/>
      <c r="O67" s="421"/>
      <c r="P67" s="421"/>
      <c r="Q67" s="421"/>
      <c r="R67" s="421"/>
      <c r="S67" s="7"/>
      <c r="T67" s="7"/>
      <c r="U67" s="7"/>
      <c r="V67" s="7"/>
    </row>
    <row r="68" spans="1:18" ht="12.75" customHeight="1">
      <c r="A68" s="59">
        <v>4</v>
      </c>
      <c r="B68" s="422" t="s">
        <v>146</v>
      </c>
      <c r="C68" s="422"/>
      <c r="D68" s="422"/>
      <c r="E68" s="422"/>
      <c r="F68" s="422"/>
      <c r="G68" s="428"/>
      <c r="H68" s="428"/>
      <c r="I68" s="428"/>
      <c r="J68" s="428"/>
      <c r="K68" s="422"/>
      <c r="L68" s="422"/>
      <c r="M68" s="422"/>
      <c r="N68" s="422"/>
      <c r="O68" s="422"/>
      <c r="P68" s="422"/>
      <c r="Q68" s="422"/>
      <c r="R68" s="422"/>
    </row>
    <row r="69" spans="2:22" ht="12" customHeight="1">
      <c r="B69" s="422"/>
      <c r="C69" s="422"/>
      <c r="D69" s="422"/>
      <c r="E69" s="422"/>
      <c r="F69" s="422"/>
      <c r="G69" s="423"/>
      <c r="H69" s="423"/>
      <c r="I69" s="424"/>
      <c r="J69" s="424"/>
      <c r="K69" s="425"/>
      <c r="L69" s="421"/>
      <c r="M69" s="421"/>
      <c r="N69" s="421"/>
      <c r="O69" s="421"/>
      <c r="P69" s="421"/>
      <c r="Q69" s="421"/>
      <c r="R69" s="421"/>
      <c r="S69" s="7"/>
      <c r="T69" s="7"/>
      <c r="U69" s="7"/>
      <c r="V69" s="7"/>
    </row>
    <row r="70" spans="2:18" ht="12.75" customHeight="1">
      <c r="B70" s="421"/>
      <c r="C70" s="422"/>
      <c r="D70" s="422"/>
      <c r="E70" s="422"/>
      <c r="F70" s="422"/>
      <c r="G70" s="428"/>
      <c r="H70" s="428"/>
      <c r="I70" s="428"/>
      <c r="J70" s="428"/>
      <c r="K70" s="422"/>
      <c r="L70" s="422"/>
      <c r="M70" s="422"/>
      <c r="N70" s="422"/>
      <c r="O70" s="422"/>
      <c r="P70" s="422"/>
      <c r="Q70" s="422"/>
      <c r="R70" s="422"/>
    </row>
    <row r="71" spans="1:18" ht="12.75" customHeight="1">
      <c r="A71" s="59">
        <v>5</v>
      </c>
      <c r="B71" s="421" t="s">
        <v>70</v>
      </c>
      <c r="C71" s="422"/>
      <c r="D71" s="422"/>
      <c r="E71" s="422"/>
      <c r="F71" s="422"/>
      <c r="G71" s="428"/>
      <c r="H71" s="428"/>
      <c r="I71" s="428"/>
      <c r="J71" s="428"/>
      <c r="K71" s="422"/>
      <c r="L71" s="422"/>
      <c r="M71" s="422"/>
      <c r="N71" s="422"/>
      <c r="O71" s="422"/>
      <c r="P71" s="422"/>
      <c r="Q71" s="422"/>
      <c r="R71" s="422"/>
    </row>
    <row r="72" spans="2:18" ht="11.25" customHeight="1">
      <c r="B72" s="421"/>
      <c r="C72" s="422"/>
      <c r="D72" s="422"/>
      <c r="E72" s="422"/>
      <c r="F72" s="422"/>
      <c r="G72" s="428"/>
      <c r="H72" s="428"/>
      <c r="I72" s="428"/>
      <c r="J72" s="428"/>
      <c r="K72" s="422"/>
      <c r="L72" s="422"/>
      <c r="M72" s="422"/>
      <c r="N72" s="422"/>
      <c r="O72" s="422"/>
      <c r="P72" s="422"/>
      <c r="Q72" s="422"/>
      <c r="R72" s="422"/>
    </row>
    <row r="73" spans="2:22" ht="12.75">
      <c r="B73" s="422"/>
      <c r="C73" s="422"/>
      <c r="D73" s="422"/>
      <c r="E73" s="422"/>
      <c r="F73" s="422"/>
      <c r="G73" s="423"/>
      <c r="H73" s="423"/>
      <c r="I73" s="424"/>
      <c r="J73" s="424"/>
      <c r="K73" s="425"/>
      <c r="L73" s="421"/>
      <c r="M73" s="421"/>
      <c r="N73" s="421"/>
      <c r="O73" s="421"/>
      <c r="P73" s="421"/>
      <c r="Q73" s="421"/>
      <c r="R73" s="421"/>
      <c r="S73" s="7"/>
      <c r="T73" s="7"/>
      <c r="U73" s="7"/>
      <c r="V73" s="7"/>
    </row>
    <row r="74" spans="1:22" ht="12.75">
      <c r="A74" s="59">
        <v>6</v>
      </c>
      <c r="B74" s="422" t="s">
        <v>147</v>
      </c>
      <c r="C74" s="422"/>
      <c r="D74" s="422"/>
      <c r="E74" s="422"/>
      <c r="F74" s="422"/>
      <c r="G74" s="423"/>
      <c r="H74" s="423"/>
      <c r="I74" s="424"/>
      <c r="J74" s="424"/>
      <c r="K74" s="425"/>
      <c r="L74" s="421"/>
      <c r="M74" s="421"/>
      <c r="N74" s="421"/>
      <c r="O74" s="421"/>
      <c r="P74" s="421"/>
      <c r="Q74" s="421"/>
      <c r="R74" s="421"/>
      <c r="S74" s="7"/>
      <c r="T74" s="7"/>
      <c r="U74" s="7"/>
      <c r="V74" s="7"/>
    </row>
    <row r="75" spans="2:22" ht="10.5" customHeight="1">
      <c r="B75" s="13"/>
      <c r="G75" s="9"/>
      <c r="H75" s="9"/>
      <c r="I75" s="17"/>
      <c r="J75" s="17"/>
      <c r="K75" s="2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14" ht="2.25" customHeight="1">
      <c r="B76" s="422"/>
      <c r="G76" s="9"/>
      <c r="H76" s="9"/>
      <c r="I76" s="17"/>
      <c r="J76" s="17"/>
      <c r="K76" s="22"/>
      <c r="L76" s="7"/>
      <c r="M76" s="7"/>
      <c r="N76" s="7"/>
    </row>
    <row r="77" spans="2:14" ht="12.75" customHeight="1">
      <c r="B77" s="422"/>
      <c r="G77" s="9"/>
      <c r="H77" s="9"/>
      <c r="I77" s="17"/>
      <c r="J77" s="17"/>
      <c r="K77" s="22"/>
      <c r="L77" s="7"/>
      <c r="M77" s="7"/>
      <c r="N77" s="7"/>
    </row>
    <row r="78" spans="1:2" ht="12.75" customHeight="1">
      <c r="A78" s="59">
        <v>7</v>
      </c>
      <c r="B78" s="421" t="s">
        <v>105</v>
      </c>
    </row>
    <row r="79" ht="12.75" customHeight="1">
      <c r="B79" s="422" t="s">
        <v>157</v>
      </c>
    </row>
    <row r="80" ht="12.75" customHeight="1">
      <c r="B80" s="13"/>
    </row>
    <row r="81" spans="1:2" ht="12.75" customHeight="1">
      <c r="A81" s="59">
        <v>8</v>
      </c>
      <c r="B81" s="50" t="s">
        <v>87</v>
      </c>
    </row>
    <row r="82" ht="12.75" customHeight="1">
      <c r="B82" s="13"/>
    </row>
    <row r="83" spans="1:2" ht="12.75" customHeight="1">
      <c r="A83" s="59">
        <v>9</v>
      </c>
      <c r="B83" s="422" t="s">
        <v>107</v>
      </c>
    </row>
    <row r="84" spans="2:11" ht="12.75" customHeight="1">
      <c r="B84" s="426" t="s">
        <v>108</v>
      </c>
      <c r="G84" s="9"/>
      <c r="H84" s="9"/>
      <c r="I84" s="17"/>
      <c r="J84" s="17"/>
      <c r="K84" s="22"/>
    </row>
    <row r="85" spans="2:11" ht="12.75" customHeight="1">
      <c r="B85" s="50"/>
      <c r="G85" s="9"/>
      <c r="H85" s="9"/>
      <c r="I85" s="17"/>
      <c r="J85" s="17"/>
      <c r="K85" s="22"/>
    </row>
    <row r="86" spans="2:11" ht="12.75" customHeight="1">
      <c r="B86" s="50"/>
      <c r="G86" s="9"/>
      <c r="H86" s="9"/>
      <c r="I86" s="17"/>
      <c r="J86" s="17"/>
      <c r="K86" s="22"/>
    </row>
    <row r="87" spans="2:22" ht="12.75" customHeight="1">
      <c r="B87" s="421" t="s">
        <v>116</v>
      </c>
      <c r="G87" s="9"/>
      <c r="H87" s="9"/>
      <c r="I87" s="9"/>
      <c r="J87" s="9"/>
      <c r="K87" s="2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2:22" ht="23.25" customHeight="1">
      <c r="B88" s="539" t="str">
        <f>B2</f>
        <v>THE SUPPLY AND DEMAND FOR YELLOW MAIZE IN SOUTH AFRICA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 thickBot="1">
      <c r="A89" s="259"/>
      <c r="B89" s="545"/>
      <c r="C89" s="540" t="str">
        <f>C6</f>
        <v>1997/98</v>
      </c>
      <c r="D89" s="540" t="str">
        <f aca="true" t="shared" si="22" ref="D89:S89">D6</f>
        <v>1998/99</v>
      </c>
      <c r="E89" s="540" t="str">
        <f t="shared" si="22"/>
        <v>1999/00</v>
      </c>
      <c r="F89" s="540" t="str">
        <f t="shared" si="22"/>
        <v>2000/01</v>
      </c>
      <c r="G89" s="540" t="str">
        <f t="shared" si="22"/>
        <v>2001/02</v>
      </c>
      <c r="H89" s="540" t="str">
        <f t="shared" si="22"/>
        <v>2002/03</v>
      </c>
      <c r="I89" s="540" t="str">
        <f t="shared" si="22"/>
        <v>2003/04</v>
      </c>
      <c r="J89" s="540" t="str">
        <f t="shared" si="22"/>
        <v>2004/05</v>
      </c>
      <c r="K89" s="540" t="str">
        <f t="shared" si="22"/>
        <v>2005/06</v>
      </c>
      <c r="L89" s="540" t="str">
        <f t="shared" si="22"/>
        <v>2006/07</v>
      </c>
      <c r="M89" s="540" t="str">
        <f t="shared" si="22"/>
        <v>2007/08</v>
      </c>
      <c r="N89" s="540" t="str">
        <f t="shared" si="22"/>
        <v>2008/09</v>
      </c>
      <c r="O89" s="540" t="str">
        <f t="shared" si="22"/>
        <v>2009/10</v>
      </c>
      <c r="P89" s="540" t="str">
        <f t="shared" si="22"/>
        <v>2010/11</v>
      </c>
      <c r="Q89" s="540" t="str">
        <f t="shared" si="22"/>
        <v>2011/12</v>
      </c>
      <c r="R89" s="540" t="str">
        <f t="shared" si="22"/>
        <v>2012/13</v>
      </c>
      <c r="S89" s="540" t="str">
        <f t="shared" si="22"/>
        <v>2013/14</v>
      </c>
      <c r="T89" s="540"/>
      <c r="U89" s="540"/>
      <c r="V89" s="540"/>
    </row>
    <row r="90" spans="1:22" ht="15">
      <c r="A90" s="259"/>
      <c r="B90" s="541" t="str">
        <f>B16</f>
        <v>Kommersiële aanbod / Commercial supply </v>
      </c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5"/>
      <c r="U90" s="545"/>
      <c r="V90" s="545"/>
    </row>
    <row r="91" spans="1:22" ht="15">
      <c r="A91" s="259"/>
      <c r="B91" s="546" t="str">
        <f>B17</f>
        <v>Beginvoorraad (1 Mei) / Opening stocks (1 May )</v>
      </c>
      <c r="C91" s="555">
        <f aca="true" t="shared" si="23" ref="C91:S91">C17</f>
        <v>445</v>
      </c>
      <c r="D91" s="555">
        <f t="shared" si="23"/>
        <v>1002</v>
      </c>
      <c r="E91" s="555">
        <f t="shared" si="23"/>
        <v>334</v>
      </c>
      <c r="F91" s="555">
        <f t="shared" si="23"/>
        <v>374</v>
      </c>
      <c r="G91" s="555">
        <f t="shared" si="23"/>
        <v>842</v>
      </c>
      <c r="H91" s="555">
        <f t="shared" si="23"/>
        <v>643</v>
      </c>
      <c r="I91" s="555">
        <f t="shared" si="23"/>
        <v>992</v>
      </c>
      <c r="J91" s="555">
        <f t="shared" si="23"/>
        <v>501</v>
      </c>
      <c r="K91" s="555">
        <f t="shared" si="23"/>
        <v>746</v>
      </c>
      <c r="L91" s="555">
        <f t="shared" si="23"/>
        <v>868</v>
      </c>
      <c r="M91" s="555">
        <f t="shared" si="23"/>
        <v>440</v>
      </c>
      <c r="N91" s="555">
        <f t="shared" si="23"/>
        <v>431</v>
      </c>
      <c r="O91" s="555">
        <f t="shared" si="23"/>
        <v>819</v>
      </c>
      <c r="P91" s="555">
        <f t="shared" si="23"/>
        <v>769</v>
      </c>
      <c r="Q91" s="555">
        <f t="shared" si="23"/>
        <v>727</v>
      </c>
      <c r="R91" s="555">
        <f t="shared" si="23"/>
        <v>476</v>
      </c>
      <c r="S91" s="555">
        <f t="shared" si="23"/>
        <v>660.179</v>
      </c>
      <c r="T91" s="555"/>
      <c r="U91" s="555"/>
      <c r="V91" s="555"/>
    </row>
    <row r="92" spans="2:22" ht="12.75" customHeight="1">
      <c r="B92" s="546" t="str">
        <f>B18</f>
        <v>Kommersiële lewerings / Commercial deliveries </v>
      </c>
      <c r="C92" s="555">
        <f aca="true" t="shared" si="24" ref="C92:S92">C18</f>
        <v>4549</v>
      </c>
      <c r="D92" s="555">
        <f t="shared" si="24"/>
        <v>2442</v>
      </c>
      <c r="E92" s="555">
        <f t="shared" si="24"/>
        <v>2423</v>
      </c>
      <c r="F92" s="555">
        <f t="shared" si="24"/>
        <v>3969</v>
      </c>
      <c r="G92" s="555">
        <f t="shared" si="24"/>
        <v>3300</v>
      </c>
      <c r="H92" s="555">
        <f t="shared" si="24"/>
        <v>3734</v>
      </c>
      <c r="I92" s="555">
        <f t="shared" si="24"/>
        <v>2564</v>
      </c>
      <c r="J92" s="555">
        <f t="shared" si="24"/>
        <v>3446</v>
      </c>
      <c r="K92" s="555">
        <f t="shared" si="24"/>
        <v>3947</v>
      </c>
      <c r="L92" s="555">
        <f t="shared" si="24"/>
        <v>2315</v>
      </c>
      <c r="M92" s="555">
        <f t="shared" si="24"/>
        <v>2573</v>
      </c>
      <c r="N92" s="555">
        <f t="shared" si="24"/>
        <v>4709</v>
      </c>
      <c r="O92" s="555">
        <f t="shared" si="24"/>
        <v>4892</v>
      </c>
      <c r="P92" s="555">
        <f t="shared" si="24"/>
        <v>4498</v>
      </c>
      <c r="Q92" s="555">
        <f t="shared" si="24"/>
        <v>4235</v>
      </c>
      <c r="R92" s="555">
        <f t="shared" si="24"/>
        <v>5049</v>
      </c>
      <c r="S92" s="555">
        <f t="shared" si="24"/>
        <v>5649.791</v>
      </c>
      <c r="T92" s="555"/>
      <c r="U92" s="555"/>
      <c r="V92" s="555"/>
    </row>
    <row r="93" spans="2:22" ht="12.75" customHeight="1">
      <c r="B93" s="546" t="str">
        <f>B19</f>
        <v>Invoere /Imports</v>
      </c>
      <c r="C93" s="555">
        <f aca="true" t="shared" si="25" ref="C93:S93">C19</f>
        <v>104</v>
      </c>
      <c r="D93" s="555">
        <f t="shared" si="25"/>
        <v>98</v>
      </c>
      <c r="E93" s="555">
        <f t="shared" si="25"/>
        <v>569</v>
      </c>
      <c r="F93" s="555">
        <f t="shared" si="25"/>
        <v>0</v>
      </c>
      <c r="G93" s="555">
        <f t="shared" si="25"/>
        <v>348</v>
      </c>
      <c r="H93" s="555">
        <f t="shared" si="25"/>
        <v>651</v>
      </c>
      <c r="I93" s="555">
        <f t="shared" si="25"/>
        <v>408</v>
      </c>
      <c r="J93" s="555">
        <f t="shared" si="25"/>
        <v>219</v>
      </c>
      <c r="K93" s="555">
        <f t="shared" si="25"/>
        <v>360</v>
      </c>
      <c r="L93" s="555">
        <f t="shared" si="25"/>
        <v>930</v>
      </c>
      <c r="M93" s="555">
        <f t="shared" si="25"/>
        <v>1074</v>
      </c>
      <c r="N93" s="555">
        <f t="shared" si="25"/>
        <v>27</v>
      </c>
      <c r="O93" s="555">
        <f t="shared" si="25"/>
        <v>27</v>
      </c>
      <c r="P93" s="555">
        <f t="shared" si="25"/>
        <v>0</v>
      </c>
      <c r="Q93" s="555">
        <f t="shared" si="25"/>
        <v>288</v>
      </c>
      <c r="R93" s="555">
        <f t="shared" si="25"/>
        <v>0</v>
      </c>
      <c r="S93" s="555">
        <f t="shared" si="25"/>
        <v>79.682</v>
      </c>
      <c r="T93" s="555"/>
      <c r="U93" s="555"/>
      <c r="V93" s="555"/>
    </row>
    <row r="94" spans="2:22" ht="12.75" customHeight="1" thickBot="1">
      <c r="B94" s="548" t="str">
        <f>B20</f>
        <v>Totaal kommersiële aanbod /Total commercial supply</v>
      </c>
      <c r="C94" s="549">
        <f aca="true" t="shared" si="26" ref="C94:S94">C20</f>
        <v>5098</v>
      </c>
      <c r="D94" s="549">
        <f t="shared" si="26"/>
        <v>3542</v>
      </c>
      <c r="E94" s="549">
        <f t="shared" si="26"/>
        <v>3326</v>
      </c>
      <c r="F94" s="549">
        <f t="shared" si="26"/>
        <v>4343</v>
      </c>
      <c r="G94" s="549">
        <f t="shared" si="26"/>
        <v>4490</v>
      </c>
      <c r="H94" s="549">
        <f t="shared" si="26"/>
        <v>5028</v>
      </c>
      <c r="I94" s="549">
        <f t="shared" si="26"/>
        <v>3964</v>
      </c>
      <c r="J94" s="549">
        <f t="shared" si="26"/>
        <v>4166</v>
      </c>
      <c r="K94" s="549">
        <f t="shared" si="26"/>
        <v>5053</v>
      </c>
      <c r="L94" s="549">
        <f t="shared" si="26"/>
        <v>4113</v>
      </c>
      <c r="M94" s="549">
        <f t="shared" si="26"/>
        <v>4087</v>
      </c>
      <c r="N94" s="549">
        <f t="shared" si="26"/>
        <v>5167</v>
      </c>
      <c r="O94" s="549">
        <f t="shared" si="26"/>
        <v>5738</v>
      </c>
      <c r="P94" s="549">
        <f t="shared" si="26"/>
        <v>5267</v>
      </c>
      <c r="Q94" s="549">
        <f t="shared" si="26"/>
        <v>5250</v>
      </c>
      <c r="R94" s="549">
        <f t="shared" si="26"/>
        <v>5525</v>
      </c>
      <c r="S94" s="549">
        <f t="shared" si="26"/>
        <v>6389.652</v>
      </c>
      <c r="T94" s="549"/>
      <c r="U94" s="549"/>
      <c r="V94" s="549"/>
    </row>
    <row r="95" spans="2:22" ht="12.75" customHeight="1" thickTop="1">
      <c r="B95" s="550" t="str">
        <f>B23</f>
        <v>Kommersiële verbruik / Commercial consumption</v>
      </c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</row>
    <row r="96" spans="2:22" ht="12.75" customHeight="1">
      <c r="B96" s="552" t="str">
        <f>B24</f>
        <v>    Voedsel /   Food</v>
      </c>
      <c r="C96" s="551">
        <f aca="true" t="shared" si="27" ref="C96:S96">C24</f>
        <v>94</v>
      </c>
      <c r="D96" s="551">
        <f t="shared" si="27"/>
        <v>126</v>
      </c>
      <c r="E96" s="551">
        <f t="shared" si="27"/>
        <v>191</v>
      </c>
      <c r="F96" s="551">
        <f t="shared" si="27"/>
        <v>212</v>
      </c>
      <c r="G96" s="551">
        <f t="shared" si="27"/>
        <v>247</v>
      </c>
      <c r="H96" s="551">
        <f t="shared" si="27"/>
        <v>249</v>
      </c>
      <c r="I96" s="551">
        <f t="shared" si="27"/>
        <v>245</v>
      </c>
      <c r="J96" s="551">
        <f t="shared" si="27"/>
        <v>262</v>
      </c>
      <c r="K96" s="551">
        <f t="shared" si="27"/>
        <v>266</v>
      </c>
      <c r="L96" s="551">
        <f t="shared" si="27"/>
        <v>290</v>
      </c>
      <c r="M96" s="551">
        <f t="shared" si="27"/>
        <v>257</v>
      </c>
      <c r="N96" s="551">
        <f t="shared" si="27"/>
        <v>326</v>
      </c>
      <c r="O96" s="551">
        <f t="shared" si="27"/>
        <v>346</v>
      </c>
      <c r="P96" s="551">
        <f t="shared" si="27"/>
        <v>356</v>
      </c>
      <c r="Q96" s="551">
        <f t="shared" si="27"/>
        <v>393</v>
      </c>
      <c r="R96" s="551">
        <f t="shared" si="27"/>
        <v>404</v>
      </c>
      <c r="S96" s="551">
        <f t="shared" si="27"/>
        <v>463.862</v>
      </c>
      <c r="T96" s="551"/>
      <c r="U96" s="551"/>
      <c r="V96" s="551"/>
    </row>
    <row r="97" spans="2:22" ht="12.75" customHeight="1">
      <c r="B97" s="547" t="str">
        <f>B25</f>
        <v>    Voer /   Feed</v>
      </c>
      <c r="C97" s="555">
        <f aca="true" t="shared" si="28" ref="C97:S97">C25</f>
        <v>2705</v>
      </c>
      <c r="D97" s="555">
        <f t="shared" si="28"/>
        <v>2629</v>
      </c>
      <c r="E97" s="555">
        <f t="shared" si="28"/>
        <v>2484</v>
      </c>
      <c r="F97" s="555">
        <f t="shared" si="28"/>
        <v>2285</v>
      </c>
      <c r="G97" s="555">
        <f t="shared" si="28"/>
        <v>2700</v>
      </c>
      <c r="H97" s="555">
        <f t="shared" si="28"/>
        <v>3050</v>
      </c>
      <c r="I97" s="555">
        <f t="shared" si="28"/>
        <v>2775</v>
      </c>
      <c r="J97" s="555">
        <f t="shared" si="28"/>
        <v>2694</v>
      </c>
      <c r="K97" s="555">
        <f t="shared" si="28"/>
        <v>2994</v>
      </c>
      <c r="L97" s="555">
        <f t="shared" si="28"/>
        <v>2976</v>
      </c>
      <c r="M97" s="555">
        <f t="shared" si="28"/>
        <v>3015</v>
      </c>
      <c r="N97" s="555">
        <f t="shared" si="28"/>
        <v>3358</v>
      </c>
      <c r="O97" s="555">
        <f t="shared" si="28"/>
        <v>3739</v>
      </c>
      <c r="P97" s="555">
        <f t="shared" si="28"/>
        <v>2613</v>
      </c>
      <c r="Q97" s="555">
        <f t="shared" si="28"/>
        <v>3160</v>
      </c>
      <c r="R97" s="555">
        <f t="shared" si="28"/>
        <v>3474</v>
      </c>
      <c r="S97" s="555">
        <f t="shared" si="28"/>
        <v>4063.37</v>
      </c>
      <c r="T97" s="555"/>
      <c r="U97" s="555"/>
      <c r="V97" s="555"/>
    </row>
    <row r="98" spans="2:22" ht="12.75" customHeight="1">
      <c r="B98" s="546" t="str">
        <f>B27</f>
        <v>Ander verbruik / Other consumption</v>
      </c>
      <c r="C98" s="555">
        <f>C32</f>
        <v>124</v>
      </c>
      <c r="D98" s="555">
        <f aca="true" t="shared" si="29" ref="D98:S98">D32</f>
        <v>115</v>
      </c>
      <c r="E98" s="555">
        <f t="shared" si="29"/>
        <v>222</v>
      </c>
      <c r="F98" s="555">
        <f t="shared" si="29"/>
        <v>377</v>
      </c>
      <c r="G98" s="555">
        <f t="shared" si="29"/>
        <v>377</v>
      </c>
      <c r="H98" s="555">
        <f t="shared" si="29"/>
        <v>366</v>
      </c>
      <c r="I98" s="555">
        <f t="shared" si="29"/>
        <v>327</v>
      </c>
      <c r="J98" s="555">
        <f t="shared" si="29"/>
        <v>344</v>
      </c>
      <c r="K98" s="555">
        <f t="shared" si="29"/>
        <v>532</v>
      </c>
      <c r="L98" s="555">
        <f t="shared" si="29"/>
        <v>290</v>
      </c>
      <c r="M98" s="555">
        <f t="shared" si="29"/>
        <v>281</v>
      </c>
      <c r="N98" s="555">
        <f t="shared" si="29"/>
        <v>361</v>
      </c>
      <c r="O98" s="555">
        <f t="shared" si="29"/>
        <v>565</v>
      </c>
      <c r="P98" s="555">
        <f t="shared" si="29"/>
        <v>503</v>
      </c>
      <c r="Q98" s="555">
        <f t="shared" si="29"/>
        <v>440</v>
      </c>
      <c r="R98" s="555">
        <f t="shared" si="29"/>
        <v>509</v>
      </c>
      <c r="S98" s="555">
        <f t="shared" si="29"/>
        <v>324.03700000000003</v>
      </c>
      <c r="T98" s="555"/>
      <c r="U98" s="555"/>
      <c r="V98" s="555"/>
    </row>
    <row r="99" spans="2:22" ht="12.75" customHeight="1">
      <c r="B99" s="547" t="str">
        <f>B34</f>
        <v>   Uitvoere / Exports </v>
      </c>
      <c r="C99" s="555">
        <f>C37</f>
        <v>802</v>
      </c>
      <c r="D99" s="555">
        <f aca="true" t="shared" si="30" ref="D99:S99">D37</f>
        <v>280</v>
      </c>
      <c r="E99" s="555">
        <f t="shared" si="30"/>
        <v>58</v>
      </c>
      <c r="F99" s="555">
        <f t="shared" si="30"/>
        <v>627</v>
      </c>
      <c r="G99" s="555">
        <f t="shared" si="30"/>
        <v>523</v>
      </c>
      <c r="H99" s="555">
        <f t="shared" si="30"/>
        <v>371</v>
      </c>
      <c r="I99" s="555">
        <f t="shared" si="30"/>
        <v>116</v>
      </c>
      <c r="J99" s="555">
        <f t="shared" si="30"/>
        <v>120</v>
      </c>
      <c r="K99" s="555">
        <f t="shared" si="30"/>
        <v>393</v>
      </c>
      <c r="L99" s="555">
        <f t="shared" si="30"/>
        <v>117</v>
      </c>
      <c r="M99" s="555">
        <f t="shared" si="30"/>
        <v>103</v>
      </c>
      <c r="N99" s="555">
        <f t="shared" si="30"/>
        <v>303</v>
      </c>
      <c r="O99" s="555">
        <f t="shared" si="30"/>
        <v>319</v>
      </c>
      <c r="P99" s="555">
        <f t="shared" si="30"/>
        <v>1068</v>
      </c>
      <c r="Q99" s="555">
        <f t="shared" si="30"/>
        <v>781</v>
      </c>
      <c r="R99" s="555">
        <f t="shared" si="30"/>
        <v>478</v>
      </c>
      <c r="S99" s="555">
        <f t="shared" si="30"/>
        <v>1223.6729999999998</v>
      </c>
      <c r="T99" s="555"/>
      <c r="U99" s="555"/>
      <c r="V99" s="555"/>
    </row>
    <row r="100" spans="2:22" ht="12.75" customHeight="1" thickBot="1">
      <c r="B100" s="542" t="str">
        <f>B38</f>
        <v>Totaal kommersiële vraag / Total commercial demand</v>
      </c>
      <c r="C100" s="549">
        <f aca="true" t="shared" si="31" ref="C100:S100">C38</f>
        <v>3725</v>
      </c>
      <c r="D100" s="549">
        <f t="shared" si="31"/>
        <v>3150</v>
      </c>
      <c r="E100" s="549">
        <f t="shared" si="31"/>
        <v>2955</v>
      </c>
      <c r="F100" s="549">
        <f t="shared" si="31"/>
        <v>3501</v>
      </c>
      <c r="G100" s="549">
        <f t="shared" si="31"/>
        <v>3847</v>
      </c>
      <c r="H100" s="549">
        <f t="shared" si="31"/>
        <v>4036</v>
      </c>
      <c r="I100" s="549">
        <f t="shared" si="31"/>
        <v>3463</v>
      </c>
      <c r="J100" s="549">
        <f t="shared" si="31"/>
        <v>3420</v>
      </c>
      <c r="K100" s="549">
        <f t="shared" si="31"/>
        <v>4185</v>
      </c>
      <c r="L100" s="549">
        <f t="shared" si="31"/>
        <v>3673</v>
      </c>
      <c r="M100" s="549">
        <f t="shared" si="31"/>
        <v>3656</v>
      </c>
      <c r="N100" s="549">
        <f t="shared" si="31"/>
        <v>4348</v>
      </c>
      <c r="O100" s="549">
        <f t="shared" si="31"/>
        <v>4969</v>
      </c>
      <c r="P100" s="549">
        <f t="shared" si="31"/>
        <v>4540</v>
      </c>
      <c r="Q100" s="549">
        <f t="shared" si="31"/>
        <v>4774</v>
      </c>
      <c r="R100" s="549">
        <f t="shared" si="31"/>
        <v>4865</v>
      </c>
      <c r="S100" s="549">
        <f t="shared" si="31"/>
        <v>6074.942</v>
      </c>
      <c r="T100" s="549"/>
      <c r="U100" s="549"/>
      <c r="V100" s="549"/>
    </row>
    <row r="101" spans="2:22" ht="12.75" customHeight="1" thickTop="1">
      <c r="B101" s="543" t="str">
        <f>B40</f>
        <v>Eindvoorraad (30 April) / Carry-out (30 April)</v>
      </c>
      <c r="C101" s="553">
        <f aca="true" t="shared" si="32" ref="C101:S101">C40</f>
        <v>1373</v>
      </c>
      <c r="D101" s="553">
        <f t="shared" si="32"/>
        <v>392</v>
      </c>
      <c r="E101" s="553">
        <f t="shared" si="32"/>
        <v>371</v>
      </c>
      <c r="F101" s="553">
        <f t="shared" si="32"/>
        <v>842</v>
      </c>
      <c r="G101" s="553">
        <f t="shared" si="32"/>
        <v>643</v>
      </c>
      <c r="H101" s="553">
        <f t="shared" si="32"/>
        <v>992</v>
      </c>
      <c r="I101" s="553">
        <f t="shared" si="32"/>
        <v>501</v>
      </c>
      <c r="J101" s="553">
        <f t="shared" si="32"/>
        <v>746</v>
      </c>
      <c r="K101" s="553">
        <f t="shared" si="32"/>
        <v>868</v>
      </c>
      <c r="L101" s="553">
        <f t="shared" si="32"/>
        <v>440</v>
      </c>
      <c r="M101" s="553">
        <f t="shared" si="32"/>
        <v>431</v>
      </c>
      <c r="N101" s="553">
        <f t="shared" si="32"/>
        <v>819</v>
      </c>
      <c r="O101" s="553">
        <f t="shared" si="32"/>
        <v>769</v>
      </c>
      <c r="P101" s="553">
        <f t="shared" si="32"/>
        <v>727</v>
      </c>
      <c r="Q101" s="553">
        <f t="shared" si="32"/>
        <v>476</v>
      </c>
      <c r="R101" s="553">
        <f t="shared" si="32"/>
        <v>660</v>
      </c>
      <c r="S101" s="553">
        <f t="shared" si="32"/>
        <v>314.71000000000004</v>
      </c>
      <c r="T101" s="553"/>
      <c r="U101" s="553"/>
      <c r="V101" s="553"/>
    </row>
    <row r="102" spans="2:22" ht="12.75" customHeight="1">
      <c r="B102" s="544" t="str">
        <f>B42</f>
        <v>Benodigde pyplyn / Pipeline requirements</v>
      </c>
      <c r="C102" s="554">
        <f aca="true" t="shared" si="33" ref="C102:S102">C42</f>
        <v>349.875</v>
      </c>
      <c r="D102" s="554">
        <f t="shared" si="33"/>
        <v>344.375</v>
      </c>
      <c r="E102" s="554">
        <f t="shared" si="33"/>
        <v>334.375</v>
      </c>
      <c r="F102" s="554">
        <f t="shared" si="33"/>
        <v>312.125</v>
      </c>
      <c r="G102" s="554">
        <f t="shared" si="33"/>
        <v>368.375</v>
      </c>
      <c r="H102" s="554">
        <f t="shared" si="33"/>
        <v>412.375</v>
      </c>
      <c r="I102" s="554">
        <f t="shared" si="33"/>
        <v>377.5</v>
      </c>
      <c r="J102" s="554">
        <f t="shared" si="33"/>
        <v>420</v>
      </c>
      <c r="K102" s="554">
        <f t="shared" si="33"/>
        <v>407.5</v>
      </c>
      <c r="L102" s="554">
        <f t="shared" si="33"/>
        <v>408.25</v>
      </c>
      <c r="M102" s="554">
        <f t="shared" si="33"/>
        <v>409</v>
      </c>
      <c r="N102" s="554">
        <f t="shared" si="33"/>
        <v>460.5</v>
      </c>
      <c r="O102" s="554">
        <f t="shared" si="33"/>
        <v>510.625</v>
      </c>
      <c r="P102" s="554">
        <f t="shared" si="33"/>
        <v>371.125</v>
      </c>
      <c r="Q102" s="554">
        <f t="shared" si="33"/>
        <v>444.125</v>
      </c>
      <c r="R102" s="554">
        <f t="shared" si="33"/>
        <v>484.75</v>
      </c>
      <c r="S102" s="554">
        <f t="shared" si="33"/>
        <v>565.904</v>
      </c>
      <c r="T102" s="554"/>
      <c r="U102" s="554"/>
      <c r="V102" s="554"/>
    </row>
    <row r="103" spans="2:22" ht="12.75" customHeight="1">
      <c r="B103" s="544" t="str">
        <f>B44</f>
        <v>Surplus bo pyplyn/Surplus above pipeline</v>
      </c>
      <c r="C103" s="554">
        <f aca="true" t="shared" si="34" ref="C103:S103">C44</f>
        <v>1023.125</v>
      </c>
      <c r="D103" s="554">
        <f t="shared" si="34"/>
        <v>47.625</v>
      </c>
      <c r="E103" s="554">
        <f t="shared" si="34"/>
        <v>36.625</v>
      </c>
      <c r="F103" s="554">
        <f t="shared" si="34"/>
        <v>529.875</v>
      </c>
      <c r="G103" s="554">
        <f t="shared" si="34"/>
        <v>274.625</v>
      </c>
      <c r="H103" s="554">
        <f t="shared" si="34"/>
        <v>579.625</v>
      </c>
      <c r="I103" s="554">
        <f t="shared" si="34"/>
        <v>123.5</v>
      </c>
      <c r="J103" s="554">
        <f t="shared" si="34"/>
        <v>326</v>
      </c>
      <c r="K103" s="554">
        <f t="shared" si="34"/>
        <v>460.5</v>
      </c>
      <c r="L103" s="554">
        <f t="shared" si="34"/>
        <v>31.75</v>
      </c>
      <c r="M103" s="554">
        <f t="shared" si="34"/>
        <v>22</v>
      </c>
      <c r="N103" s="554">
        <f t="shared" si="34"/>
        <v>358.5</v>
      </c>
      <c r="O103" s="554">
        <f t="shared" si="34"/>
        <v>258.375</v>
      </c>
      <c r="P103" s="554">
        <f t="shared" si="34"/>
        <v>355.875</v>
      </c>
      <c r="Q103" s="554">
        <f t="shared" si="34"/>
        <v>31.875</v>
      </c>
      <c r="R103" s="554">
        <f t="shared" si="34"/>
        <v>175.25</v>
      </c>
      <c r="S103" s="554">
        <f t="shared" si="34"/>
        <v>-251.19399999999996</v>
      </c>
      <c r="T103" s="554"/>
      <c r="U103" s="554"/>
      <c r="V103" s="554"/>
    </row>
  </sheetData>
  <sheetProtection/>
  <mergeCells count="2">
    <mergeCell ref="W4:W5"/>
    <mergeCell ref="V4:V5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zoomScalePageLayoutView="0" workbookViewId="0" topLeftCell="A1">
      <pane xSplit="2" ySplit="6" topLeftCell="C50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A50" sqref="A50:IV156"/>
    </sheetView>
  </sheetViews>
  <sheetFormatPr defaultColWidth="9.140625" defaultRowHeight="12.75"/>
  <cols>
    <col min="1" max="1" width="3.28125" style="60" customWidth="1"/>
    <col min="2" max="2" width="67.57421875" style="0" customWidth="1"/>
    <col min="3" max="3" width="10.7109375" style="12" hidden="1" customWidth="1"/>
    <col min="4" max="4" width="9.140625" style="12" hidden="1" customWidth="1"/>
    <col min="5" max="5" width="10.421875" style="12" hidden="1" customWidth="1"/>
    <col min="6" max="6" width="9.140625" style="12" hidden="1" customWidth="1"/>
    <col min="7" max="10" width="9.140625" style="2" hidden="1" customWidth="1"/>
    <col min="11" max="15" width="9.140625" style="12" hidden="1" customWidth="1"/>
    <col min="16" max="16" width="10.57421875" style="270" hidden="1" customWidth="1"/>
    <col min="17" max="17" width="10.140625" style="12" hidden="1" customWidth="1"/>
    <col min="18" max="18" width="12.421875" style="12" customWidth="1"/>
    <col min="19" max="22" width="14.28125" style="12" customWidth="1"/>
    <col min="23" max="23" width="15.140625" style="12" customWidth="1"/>
    <col min="24" max="24" width="15.28125" style="12" customWidth="1"/>
    <col min="25" max="25" width="1.1484375" style="0" customWidth="1"/>
  </cols>
  <sheetData>
    <row r="1" spans="2:24" ht="12.75">
      <c r="B1" s="453" t="s">
        <v>50</v>
      </c>
      <c r="C1" s="475"/>
      <c r="D1" s="475"/>
      <c r="E1" s="475"/>
      <c r="F1" s="475"/>
      <c r="G1" s="476"/>
      <c r="H1" s="476"/>
      <c r="I1" s="476"/>
      <c r="J1" s="477"/>
      <c r="K1" s="475"/>
      <c r="L1" s="475"/>
      <c r="M1" s="475"/>
      <c r="N1" s="475"/>
      <c r="O1" s="475"/>
      <c r="P1" s="478"/>
      <c r="Q1" s="475"/>
      <c r="R1" s="475"/>
      <c r="S1" s="475"/>
      <c r="T1" s="475"/>
      <c r="U1" s="475"/>
      <c r="V1" s="475"/>
      <c r="W1" s="475"/>
      <c r="X1" s="485"/>
    </row>
    <row r="2" spans="2:24" ht="12.75">
      <c r="B2" s="455" t="s">
        <v>51</v>
      </c>
      <c r="C2" s="16"/>
      <c r="D2" s="16"/>
      <c r="E2" s="16"/>
      <c r="F2" s="16"/>
      <c r="G2" s="486"/>
      <c r="H2" s="486"/>
      <c r="I2" s="486"/>
      <c r="J2" s="487"/>
      <c r="K2" s="16"/>
      <c r="L2" s="16"/>
      <c r="M2" s="16"/>
      <c r="N2" s="16"/>
      <c r="O2" s="16"/>
      <c r="P2" s="488"/>
      <c r="Q2" s="16"/>
      <c r="R2" s="16"/>
      <c r="S2" s="16"/>
      <c r="T2" s="16"/>
      <c r="U2" s="16"/>
      <c r="V2" s="16"/>
      <c r="W2" s="16"/>
      <c r="X2" s="489"/>
    </row>
    <row r="3" spans="2:24" ht="13.5" thickBot="1">
      <c r="B3" s="459"/>
      <c r="C3" s="480"/>
      <c r="D3" s="480"/>
      <c r="E3" s="480"/>
      <c r="F3" s="480"/>
      <c r="G3" s="490"/>
      <c r="H3" s="490"/>
      <c r="I3" s="490"/>
      <c r="J3" s="491"/>
      <c r="K3" s="480"/>
      <c r="L3" s="480"/>
      <c r="M3" s="480"/>
      <c r="N3" s="480"/>
      <c r="O3" s="480"/>
      <c r="P3" s="492"/>
      <c r="Q3" s="480"/>
      <c r="R3" s="480"/>
      <c r="S3" s="480"/>
      <c r="T3" s="480"/>
      <c r="U3" s="480"/>
      <c r="V3" s="480"/>
      <c r="W3" s="480"/>
      <c r="X3" s="493"/>
    </row>
    <row r="4" spans="2:24" ht="14.25" customHeight="1" thickBot="1">
      <c r="B4" s="465" t="s">
        <v>53</v>
      </c>
      <c r="C4" s="475"/>
      <c r="D4" s="475"/>
      <c r="E4" s="475"/>
      <c r="F4" s="475"/>
      <c r="G4" s="476"/>
      <c r="H4" s="476"/>
      <c r="I4" s="476"/>
      <c r="J4" s="477"/>
      <c r="K4" s="475"/>
      <c r="L4" s="475"/>
      <c r="M4" s="468"/>
      <c r="N4" s="468"/>
      <c r="O4" s="475"/>
      <c r="P4" s="478"/>
      <c r="Q4" s="479"/>
      <c r="R4" s="538"/>
      <c r="S4" s="684"/>
      <c r="T4" s="621" t="s">
        <v>122</v>
      </c>
      <c r="U4" s="621" t="s">
        <v>122</v>
      </c>
      <c r="V4" s="772" t="s">
        <v>133</v>
      </c>
      <c r="W4" s="766" t="s">
        <v>138</v>
      </c>
      <c r="X4" s="766" t="s">
        <v>112</v>
      </c>
    </row>
    <row r="5" spans="2:24" ht="12.75" customHeight="1" thickBot="1">
      <c r="B5" s="469">
        <f>'Voorblad Front page'!B5</f>
        <v>41912</v>
      </c>
      <c r="C5" s="480"/>
      <c r="D5" s="480"/>
      <c r="E5" s="480"/>
      <c r="F5" s="480"/>
      <c r="G5" s="481"/>
      <c r="H5" s="481"/>
      <c r="I5" s="481"/>
      <c r="J5" s="481"/>
      <c r="K5" s="480"/>
      <c r="L5" s="452"/>
      <c r="M5" s="482"/>
      <c r="N5" s="483"/>
      <c r="O5" s="471"/>
      <c r="P5" s="471"/>
      <c r="Q5" s="484"/>
      <c r="R5" s="560"/>
      <c r="S5" s="685"/>
      <c r="T5" s="606" t="s">
        <v>137</v>
      </c>
      <c r="U5" s="606" t="s">
        <v>153</v>
      </c>
      <c r="V5" s="773"/>
      <c r="W5" s="767"/>
      <c r="X5" s="767"/>
    </row>
    <row r="6" spans="2:24" ht="12.75" customHeight="1" thickBot="1">
      <c r="B6" s="326" t="s">
        <v>67</v>
      </c>
      <c r="C6" s="67" t="s">
        <v>7</v>
      </c>
      <c r="D6" s="68" t="s">
        <v>6</v>
      </c>
      <c r="E6" s="67" t="s">
        <v>80</v>
      </c>
      <c r="F6" s="68" t="s">
        <v>5</v>
      </c>
      <c r="G6" s="90" t="s">
        <v>9</v>
      </c>
      <c r="H6" s="86" t="s">
        <v>11</v>
      </c>
      <c r="I6" s="53" t="s">
        <v>39</v>
      </c>
      <c r="J6" s="86" t="s">
        <v>44</v>
      </c>
      <c r="K6" s="53" t="s">
        <v>46</v>
      </c>
      <c r="L6" s="53" t="s">
        <v>54</v>
      </c>
      <c r="M6" s="53" t="s">
        <v>55</v>
      </c>
      <c r="N6" s="53" t="s">
        <v>66</v>
      </c>
      <c r="O6" s="274" t="s">
        <v>73</v>
      </c>
      <c r="P6" s="69" t="s">
        <v>77</v>
      </c>
      <c r="Q6" s="263" t="s">
        <v>84</v>
      </c>
      <c r="R6" s="623" t="s">
        <v>120</v>
      </c>
      <c r="S6" s="654" t="s">
        <v>125</v>
      </c>
      <c r="T6" s="622" t="s">
        <v>123</v>
      </c>
      <c r="U6" s="622" t="s">
        <v>123</v>
      </c>
      <c r="V6" s="622" t="s">
        <v>132</v>
      </c>
      <c r="W6" s="650" t="s">
        <v>111</v>
      </c>
      <c r="X6" s="650" t="s">
        <v>111</v>
      </c>
    </row>
    <row r="7" spans="1:24" s="10" customFormat="1" ht="12.75">
      <c r="A7" s="61"/>
      <c r="B7" s="52" t="s">
        <v>59</v>
      </c>
      <c r="C7" s="153">
        <f>'Witmielies White maize'!C7+'Geelmielies Yellow maize'!C7</f>
        <v>3361</v>
      </c>
      <c r="D7" s="152">
        <f>'Witmielies White maize'!D7+'Geelmielies Yellow maize'!D7</f>
        <v>2956</v>
      </c>
      <c r="E7" s="151">
        <f>'Witmielies White maize'!E7+'Geelmielies Yellow maize'!E7</f>
        <v>2904.7</v>
      </c>
      <c r="F7" s="152">
        <f>'Witmielies White maize'!F7+'Geelmielies Yellow maize'!F7</f>
        <v>3429.44</v>
      </c>
      <c r="G7" s="151">
        <f>'Witmielies White maize'!G7+'Geelmielies Yellow maize'!G7</f>
        <v>2673.9</v>
      </c>
      <c r="H7" s="152">
        <f>'Witmielies White maize'!H7+'Geelmielies Yellow maize'!H7</f>
        <v>3016.8999999999996</v>
      </c>
      <c r="I7" s="151">
        <f>'Witmielies White maize'!I7+'Geelmielies Yellow maize'!I7</f>
        <v>3185</v>
      </c>
      <c r="J7" s="152">
        <f>'Witmielies White maize'!J7+'Geelmielies Yellow maize'!J7</f>
        <v>2843.3</v>
      </c>
      <c r="K7" s="151">
        <f>'Witmielies White maize'!K7+'Geelmielies Yellow maize'!K7</f>
        <v>2810</v>
      </c>
      <c r="L7" s="151">
        <f>'Witmielies White maize'!L7+'Geelmielies Yellow maize'!L7</f>
        <v>1600.2</v>
      </c>
      <c r="M7" s="151">
        <f>'Witmielies White maize'!M7+'Geelmielies Yellow maize'!M7</f>
        <v>2551.8</v>
      </c>
      <c r="N7" s="151">
        <f>'Witmielies White maize'!N7+'Geelmielies Yellow maize'!N7</f>
        <v>2799</v>
      </c>
      <c r="O7" s="275">
        <f>'Witmielies White maize'!O7+'Geelmielies Yellow maize'!O7</f>
        <v>2427.5</v>
      </c>
      <c r="P7" s="154">
        <f>'Witmielies White maize'!P7+'Geelmielies Yellow maize'!P7</f>
        <v>2742.4</v>
      </c>
      <c r="Q7" s="460">
        <f>'Witmielies White maize'!Q7+'Geelmielies Yellow maize'!Q7</f>
        <v>2372.3</v>
      </c>
      <c r="R7" s="624">
        <f>'Witmielies White maize'!R7+'Geelmielies Yellow maize'!R7</f>
        <v>2699.2</v>
      </c>
      <c r="S7" s="701">
        <f>'Witmielies White maize'!S7+'Geelmielies Yellow maize'!S7</f>
        <v>2781.2</v>
      </c>
      <c r="T7" s="631">
        <f>'Witmielies White maize'!T7+'Geelmielies Yellow maize'!T7</f>
        <v>2688.2</v>
      </c>
      <c r="U7" s="631">
        <f>'Witmielies White maize'!U7+'Geelmielies Yellow maize'!U7</f>
        <v>2688.2</v>
      </c>
      <c r="V7" s="631">
        <v>2688.2</v>
      </c>
      <c r="W7" s="651">
        <f aca="true" t="shared" si="0" ref="W7:W13">(U7-T7)/T7</f>
        <v>0</v>
      </c>
      <c r="X7" s="651">
        <f aca="true" t="shared" si="1" ref="X7:X13">(U7-S7)/S7</f>
        <v>-0.03343880339421833</v>
      </c>
    </row>
    <row r="8" spans="1:24" s="10" customFormat="1" ht="12.75">
      <c r="A8" s="61"/>
      <c r="B8" s="336" t="s">
        <v>58</v>
      </c>
      <c r="C8" s="334">
        <f>C9/C7</f>
        <v>2.8509967271645347</v>
      </c>
      <c r="D8" s="334">
        <f aca="true" t="shared" si="2" ref="D8:R8">D9/D7</f>
        <v>2.43690798376184</v>
      </c>
      <c r="E8" s="334">
        <f t="shared" si="2"/>
        <v>2.568595724171171</v>
      </c>
      <c r="F8" s="334">
        <f t="shared" si="2"/>
        <v>3.207754035644303</v>
      </c>
      <c r="G8" s="334">
        <f t="shared" si="2"/>
        <v>2.762556565316579</v>
      </c>
      <c r="H8" s="334">
        <f t="shared" si="2"/>
        <v>3.2258775564321</v>
      </c>
      <c r="I8" s="334">
        <f t="shared" si="2"/>
        <v>2.9486656200941916</v>
      </c>
      <c r="J8" s="334">
        <f t="shared" si="2"/>
        <v>3.3348573840256037</v>
      </c>
      <c r="K8" s="334">
        <f t="shared" si="2"/>
        <v>4.074733096085409</v>
      </c>
      <c r="L8" s="334">
        <f t="shared" si="2"/>
        <v>4.135733033370829</v>
      </c>
      <c r="M8" s="334">
        <f t="shared" si="2"/>
        <v>2.7921467199623793</v>
      </c>
      <c r="N8" s="334">
        <f t="shared" si="2"/>
        <v>4.537334762415148</v>
      </c>
      <c r="O8" s="334">
        <f t="shared" si="2"/>
        <v>4.963954685890834</v>
      </c>
      <c r="P8" s="334">
        <f t="shared" si="2"/>
        <v>4.672914235705951</v>
      </c>
      <c r="Q8" s="327">
        <f t="shared" si="2"/>
        <v>4.367069932133372</v>
      </c>
      <c r="R8" s="625">
        <f t="shared" si="2"/>
        <v>4.490462359217546</v>
      </c>
      <c r="S8" s="702">
        <f>S9/S7</f>
        <v>4.24658420825543</v>
      </c>
      <c r="T8" s="632">
        <f>T9/T7</f>
        <v>5.322167249460605</v>
      </c>
      <c r="U8" s="632">
        <f>U9/U7</f>
        <v>5.322167249460605</v>
      </c>
      <c r="V8" s="632">
        <f>V9/V7</f>
        <v>5.322167249460605</v>
      </c>
      <c r="W8" s="651">
        <f t="shared" si="0"/>
        <v>0</v>
      </c>
      <c r="X8" s="651">
        <f t="shared" si="1"/>
        <v>0.2532819293007834</v>
      </c>
    </row>
    <row r="9" spans="1:24" s="10" customFormat="1" ht="12.75">
      <c r="A9" s="61"/>
      <c r="B9" s="337" t="s">
        <v>75</v>
      </c>
      <c r="C9" s="157">
        <f>'Witmielies White maize'!C9+'Geelmielies Yellow maize'!C9</f>
        <v>9582.2</v>
      </c>
      <c r="D9" s="156">
        <f>'Witmielies White maize'!D9+'Geelmielies Yellow maize'!D9</f>
        <v>7203.5</v>
      </c>
      <c r="E9" s="155">
        <f>'Witmielies White maize'!E9+'Geelmielies Yellow maize'!E9</f>
        <v>7461</v>
      </c>
      <c r="F9" s="156">
        <f>'Witmielies White maize'!F9+'Geelmielies Yellow maize'!F9</f>
        <v>11000.8</v>
      </c>
      <c r="G9" s="155">
        <f>'Witmielies White maize'!G9+'Geelmielies Yellow maize'!G9</f>
        <v>7386.8</v>
      </c>
      <c r="H9" s="156">
        <f>'Witmielies White maize'!H9+'Geelmielies Yellow maize'!H9</f>
        <v>9732.150000000001</v>
      </c>
      <c r="I9" s="155">
        <f>'Witmielies White maize'!I9+'Geelmielies Yellow maize'!I9</f>
        <v>9391.5</v>
      </c>
      <c r="J9" s="156">
        <f>'Witmielies White maize'!J9+'Geelmielies Yellow maize'!J9</f>
        <v>9482</v>
      </c>
      <c r="K9" s="155">
        <f>'Witmielies White maize'!K9+'Geelmielies Yellow maize'!K9</f>
        <v>11450</v>
      </c>
      <c r="L9" s="155">
        <f>'Witmielies White maize'!L9+'Geelmielies Yellow maize'!L9</f>
        <v>6618</v>
      </c>
      <c r="M9" s="155">
        <f>'Witmielies White maize'!M9+'Geelmielies Yellow maize'!M9</f>
        <v>7125</v>
      </c>
      <c r="N9" s="155">
        <f>'Witmielies White maize'!N9+'Geelmielies Yellow maize'!N9</f>
        <v>12700</v>
      </c>
      <c r="O9" s="276">
        <f>'Witmielies White maize'!O9+'Geelmielies Yellow maize'!O9</f>
        <v>12050</v>
      </c>
      <c r="P9" s="158">
        <f>'Witmielies White maize'!P9+'Geelmielies Yellow maize'!P9</f>
        <v>12815</v>
      </c>
      <c r="Q9" s="303">
        <f>'Witmielies White maize'!Q9+'Geelmielies Yellow maize'!Q9</f>
        <v>10360</v>
      </c>
      <c r="R9" s="626">
        <f>'Witmielies White maize'!R9+'Geelmielies Yellow maize'!R9</f>
        <v>12120.655999999999</v>
      </c>
      <c r="S9" s="703">
        <f>'Witmielies White maize'!S9+'Geelmielies Yellow maize'!S9</f>
        <v>11810.6</v>
      </c>
      <c r="T9" s="633">
        <f>'Witmielies White maize'!T9+'Geelmielies Yellow maize'!T9</f>
        <v>14307.05</v>
      </c>
      <c r="U9" s="633">
        <f>'Witmielies White maize'!U9+'Geelmielies Yellow maize'!U9</f>
        <v>14307.05</v>
      </c>
      <c r="V9" s="633">
        <f>T9</f>
        <v>14307.05</v>
      </c>
      <c r="W9" s="651">
        <f t="shared" si="0"/>
        <v>0</v>
      </c>
      <c r="X9" s="651">
        <f t="shared" si="1"/>
        <v>0.2113736812693681</v>
      </c>
    </row>
    <row r="10" spans="1:24" s="10" customFormat="1" ht="12.75">
      <c r="A10" s="61"/>
      <c r="B10" s="337" t="s">
        <v>91</v>
      </c>
      <c r="C10" s="322">
        <f>'Witmielies White maize'!C10+'Geelmielies Yellow maize'!C10</f>
        <v>0</v>
      </c>
      <c r="D10" s="320">
        <f>'Witmielies White maize'!D10+'Geelmielies Yellow maize'!D10</f>
        <v>469</v>
      </c>
      <c r="E10" s="320">
        <f>'Witmielies White maize'!E10+'Geelmielies Yellow maize'!E10</f>
        <v>502</v>
      </c>
      <c r="F10" s="320">
        <f>'Witmielies White maize'!F10+'Geelmielies Yellow maize'!F10</f>
        <v>613.9</v>
      </c>
      <c r="G10" s="320">
        <f>'Witmielies White maize'!G10+'Geelmielies Yellow maize'!G10</f>
        <v>413.6</v>
      </c>
      <c r="H10" s="320">
        <f>'Witmielies White maize'!H10+'Geelmielies Yellow maize'!H10</f>
        <v>462</v>
      </c>
      <c r="I10" s="320">
        <f>'Witmielies White maize'!I10+'Geelmielies Yellow maize'!I10</f>
        <v>366</v>
      </c>
      <c r="J10" s="320">
        <f>'Witmielies White maize'!J10+'Geelmielies Yellow maize'!J10</f>
        <v>410</v>
      </c>
      <c r="K10" s="320">
        <f>'Witmielies White maize'!K10+'Geelmielies Yellow maize'!K10</f>
        <v>753.7</v>
      </c>
      <c r="L10" s="320">
        <f>'Witmielies White maize'!L10+'Geelmielies Yellow maize'!L10</f>
        <v>480</v>
      </c>
      <c r="M10" s="320">
        <f>'Witmielies White maize'!M10+'Geelmielies Yellow maize'!M10</f>
        <v>337.2</v>
      </c>
      <c r="N10" s="320">
        <f>'Witmielies White maize'!N10+'Geelmielies Yellow maize'!N10</f>
        <v>553.8</v>
      </c>
      <c r="O10" s="320">
        <f>'Witmielies White maize'!O10+'Geelmielies Yellow maize'!O10</f>
        <v>388.5</v>
      </c>
      <c r="P10" s="320">
        <f>'Witmielies White maize'!P10+'Geelmielies Yellow maize'!P10</f>
        <v>526.9</v>
      </c>
      <c r="Q10" s="320">
        <f>'Witmielies White maize'!Q10+'Geelmielies Yellow maize'!Q10</f>
        <v>474</v>
      </c>
      <c r="R10" s="626">
        <f>'Witmielies White maize'!R10+'Geelmielies Yellow maize'!R10</f>
        <v>433.431</v>
      </c>
      <c r="S10" s="703">
        <f>'Witmielies White maize'!S10+'Geelmielies Yellow maize'!S10</f>
        <v>457.81100000000004</v>
      </c>
      <c r="T10" s="633">
        <f>'Witmielies White maize'!T10+'Geelmielies Yellow maize'!T10</f>
        <v>520</v>
      </c>
      <c r="U10" s="633">
        <f>'Witmielies White maize'!U10+'Geelmielies Yellow maize'!U10</f>
        <v>520</v>
      </c>
      <c r="V10" s="633">
        <v>492</v>
      </c>
      <c r="W10" s="651">
        <f t="shared" si="0"/>
        <v>0</v>
      </c>
      <c r="X10" s="651">
        <f t="shared" si="1"/>
        <v>0.1358398989976212</v>
      </c>
    </row>
    <row r="11" spans="1:24" s="10" customFormat="1" ht="12.75">
      <c r="A11" s="61"/>
      <c r="B11" s="337" t="s">
        <v>130</v>
      </c>
      <c r="C11" s="322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626">
        <f>'Witmielies White maize'!R11+'Geelmielies Yellow maize'!R11</f>
        <v>614.11</v>
      </c>
      <c r="S11" s="703">
        <f>'Witmielies White maize'!S11+'Geelmielies Yellow maize'!S11</f>
        <v>841.1020000000001</v>
      </c>
      <c r="T11" s="633">
        <f>'Witmielies White maize'!T11+'Geelmielies Yellow maize'!T11</f>
        <v>497.358</v>
      </c>
      <c r="U11" s="633">
        <f>'Witmielies White maize'!U11+'Geelmielies Yellow maize'!U11</f>
        <v>497.358</v>
      </c>
      <c r="V11" s="633">
        <v>497</v>
      </c>
      <c r="W11" s="651">
        <f t="shared" si="0"/>
        <v>0</v>
      </c>
      <c r="X11" s="651">
        <f t="shared" si="1"/>
        <v>-0.4086828945835345</v>
      </c>
    </row>
    <row r="12" spans="1:24" s="10" customFormat="1" ht="12.75">
      <c r="A12" s="61"/>
      <c r="B12" s="337" t="s">
        <v>131</v>
      </c>
      <c r="C12" s="322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626">
        <f>'Witmielies White maize'!R12+'Geelmielies Yellow maize'!R12</f>
        <v>841.1020000000001</v>
      </c>
      <c r="S12" s="703">
        <f>'Witmielies White maize'!S12+'Geelmielies Yellow maize'!S12</f>
        <v>378.938</v>
      </c>
      <c r="T12" s="633">
        <f>'Witmielies White maize'!T12+'Geelmielies Yellow maize'!T12</f>
        <v>438.39099999999996</v>
      </c>
      <c r="U12" s="763">
        <f>'Witmielies White maize'!U12+'Geelmielies Yellow maize'!U12</f>
        <v>438.39099999999996</v>
      </c>
      <c r="V12" s="633">
        <v>438.39099999999996</v>
      </c>
      <c r="W12" s="651">
        <f t="shared" si="0"/>
        <v>0</v>
      </c>
      <c r="X12" s="651">
        <f t="shared" si="1"/>
        <v>0.15689373987301347</v>
      </c>
    </row>
    <row r="13" spans="1:24" s="7" customFormat="1" ht="13.5" thickBot="1">
      <c r="A13" s="59"/>
      <c r="B13" s="338" t="s">
        <v>92</v>
      </c>
      <c r="C13" s="342">
        <f>C9-C10</f>
        <v>9582.2</v>
      </c>
      <c r="D13" s="341">
        <f aca="true" t="shared" si="3" ref="D13:Q13">D9-D10</f>
        <v>6734.5</v>
      </c>
      <c r="E13" s="341">
        <f t="shared" si="3"/>
        <v>6959</v>
      </c>
      <c r="F13" s="341">
        <f t="shared" si="3"/>
        <v>10386.9</v>
      </c>
      <c r="G13" s="341">
        <f t="shared" si="3"/>
        <v>6973.2</v>
      </c>
      <c r="H13" s="341">
        <f t="shared" si="3"/>
        <v>9270.150000000001</v>
      </c>
      <c r="I13" s="341">
        <f t="shared" si="3"/>
        <v>9025.5</v>
      </c>
      <c r="J13" s="341">
        <f t="shared" si="3"/>
        <v>9072</v>
      </c>
      <c r="K13" s="341">
        <f t="shared" si="3"/>
        <v>10696.3</v>
      </c>
      <c r="L13" s="341">
        <f t="shared" si="3"/>
        <v>6138</v>
      </c>
      <c r="M13" s="341">
        <f t="shared" si="3"/>
        <v>6787.8</v>
      </c>
      <c r="N13" s="341">
        <f t="shared" si="3"/>
        <v>12146.2</v>
      </c>
      <c r="O13" s="341">
        <f t="shared" si="3"/>
        <v>11661.5</v>
      </c>
      <c r="P13" s="341">
        <f t="shared" si="3"/>
        <v>12288.1</v>
      </c>
      <c r="Q13" s="341">
        <f t="shared" si="3"/>
        <v>9886</v>
      </c>
      <c r="R13" s="627">
        <f>R9-R10-R11+R12</f>
        <v>11914.216999999999</v>
      </c>
      <c r="S13" s="704">
        <f>S9-S10-S11+S12</f>
        <v>10890.625</v>
      </c>
      <c r="T13" s="634">
        <f>T9-T10-T11+T12</f>
        <v>13728.082999999999</v>
      </c>
      <c r="U13" s="634">
        <f>U9-U10-U11+U12</f>
        <v>13728.082999999999</v>
      </c>
      <c r="V13" s="634">
        <v>13116.103</v>
      </c>
      <c r="W13" s="651">
        <f t="shared" si="0"/>
        <v>0</v>
      </c>
      <c r="X13" s="651">
        <f t="shared" si="1"/>
        <v>0.2605413371592538</v>
      </c>
    </row>
    <row r="14" spans="1:24" s="7" customFormat="1" ht="13.5" thickBot="1">
      <c r="A14" s="59"/>
      <c r="B14" s="340"/>
      <c r="C14" s="67" t="s">
        <v>3</v>
      </c>
      <c r="D14" s="68" t="s">
        <v>3</v>
      </c>
      <c r="E14" s="67" t="s">
        <v>3</v>
      </c>
      <c r="F14" s="68" t="s">
        <v>3</v>
      </c>
      <c r="G14" s="67" t="s">
        <v>3</v>
      </c>
      <c r="H14" s="84" t="s">
        <v>3</v>
      </c>
      <c r="I14" s="90" t="s">
        <v>3</v>
      </c>
      <c r="J14" s="84" t="s">
        <v>3</v>
      </c>
      <c r="K14" s="67" t="s">
        <v>3</v>
      </c>
      <c r="L14" s="67" t="s">
        <v>3</v>
      </c>
      <c r="M14" s="67" t="s">
        <v>3</v>
      </c>
      <c r="N14" s="67" t="s">
        <v>3</v>
      </c>
      <c r="O14" s="277" t="s">
        <v>3</v>
      </c>
      <c r="P14" s="246" t="s">
        <v>3</v>
      </c>
      <c r="Q14" s="267" t="s">
        <v>3</v>
      </c>
      <c r="R14" s="628" t="s">
        <v>3</v>
      </c>
      <c r="S14" s="705" t="s">
        <v>3</v>
      </c>
      <c r="T14" s="589" t="s">
        <v>4</v>
      </c>
      <c r="U14" s="589" t="s">
        <v>4</v>
      </c>
      <c r="V14" s="589" t="s">
        <v>4</v>
      </c>
      <c r="W14" s="651"/>
      <c r="X14" s="651"/>
    </row>
    <row r="15" spans="1:24" s="7" customFormat="1" ht="13.5" thickBot="1">
      <c r="A15" s="59"/>
      <c r="B15" s="243"/>
      <c r="C15" s="88" t="s">
        <v>0</v>
      </c>
      <c r="D15" s="89" t="s">
        <v>0</v>
      </c>
      <c r="E15" s="88" t="s">
        <v>0</v>
      </c>
      <c r="F15" s="89" t="s">
        <v>0</v>
      </c>
      <c r="G15" s="91" t="s">
        <v>0</v>
      </c>
      <c r="H15" s="92" t="s">
        <v>0</v>
      </c>
      <c r="I15" s="91" t="s">
        <v>0</v>
      </c>
      <c r="J15" s="54" t="s">
        <v>0</v>
      </c>
      <c r="K15" s="65" t="s">
        <v>0</v>
      </c>
      <c r="L15" s="65" t="s">
        <v>0</v>
      </c>
      <c r="M15" s="65" t="s">
        <v>0</v>
      </c>
      <c r="N15" s="65" t="s">
        <v>0</v>
      </c>
      <c r="O15" s="278" t="s">
        <v>0</v>
      </c>
      <c r="P15" s="66" t="s">
        <v>0</v>
      </c>
      <c r="Q15" s="304" t="s">
        <v>0</v>
      </c>
      <c r="R15" s="258" t="s">
        <v>0</v>
      </c>
      <c r="S15" s="706" t="s">
        <v>0</v>
      </c>
      <c r="T15" s="635" t="s">
        <v>0</v>
      </c>
      <c r="U15" s="635" t="s">
        <v>0</v>
      </c>
      <c r="V15" s="635" t="s">
        <v>0</v>
      </c>
      <c r="W15" s="651"/>
      <c r="X15" s="651"/>
    </row>
    <row r="16" spans="2:24" ht="12.75" customHeight="1">
      <c r="B16" s="30" t="s">
        <v>21</v>
      </c>
      <c r="C16" s="118"/>
      <c r="D16" s="191"/>
      <c r="E16" s="192"/>
      <c r="F16" s="191"/>
      <c r="G16" s="193"/>
      <c r="H16" s="194"/>
      <c r="I16" s="193"/>
      <c r="J16" s="194"/>
      <c r="K16" s="192"/>
      <c r="L16" s="192"/>
      <c r="M16" s="192"/>
      <c r="N16" s="192"/>
      <c r="O16" s="279"/>
      <c r="P16" s="164"/>
      <c r="Q16" s="461"/>
      <c r="R16" s="409"/>
      <c r="S16" s="707"/>
      <c r="T16" s="636"/>
      <c r="U16" s="636"/>
      <c r="V16" s="636"/>
      <c r="W16" s="651"/>
      <c r="X16" s="651"/>
    </row>
    <row r="17" spans="2:24" ht="12.75" customHeight="1">
      <c r="B17" s="31" t="s">
        <v>60</v>
      </c>
      <c r="C17" s="195">
        <f>('Witmielies White maize'!C17+'Geelmielies Yellow maize'!C17)</f>
        <v>1283</v>
      </c>
      <c r="D17" s="196">
        <f>('Witmielies White maize'!D17+'Geelmielies Yellow maize'!D17)</f>
        <v>1949</v>
      </c>
      <c r="E17" s="195">
        <f>('Witmielies White maize'!E17+'Geelmielies Yellow maize'!E17)</f>
        <v>847</v>
      </c>
      <c r="F17" s="196">
        <f>('Witmielies White maize'!F17+'Geelmielies Yellow maize'!F17)</f>
        <v>983</v>
      </c>
      <c r="G17" s="195">
        <f>('Witmielies White maize'!G17+'Geelmielies Yellow maize'!G17)</f>
        <v>2115</v>
      </c>
      <c r="H17" s="196">
        <f>('Witmielies White maize'!H17+'Geelmielies Yellow maize'!H17)</f>
        <v>1202</v>
      </c>
      <c r="I17" s="195">
        <f>('Witmielies White maize'!I17+'Geelmielies Yellow maize'!I17)</f>
        <v>2710</v>
      </c>
      <c r="J17" s="196">
        <f>('Witmielies White maize'!J17+'Geelmielies Yellow maize'!J17)</f>
        <v>2624</v>
      </c>
      <c r="K17" s="195">
        <f>('Witmielies White maize'!K17+'Geelmielies Yellow maize'!K17)</f>
        <v>3148</v>
      </c>
      <c r="L17" s="195">
        <f>('Witmielies White maize'!L17+'Geelmielies Yellow maize'!L17)</f>
        <v>3168</v>
      </c>
      <c r="M17" s="197">
        <f>('Witmielies White maize'!M17+'Geelmielies Yellow maize'!M17)</f>
        <v>2070</v>
      </c>
      <c r="N17" s="197">
        <f>('Witmielies White maize'!N17+'Geelmielies Yellow maize'!N17)</f>
        <v>1049</v>
      </c>
      <c r="O17" s="280">
        <f>'Witmielies White maize'!O17+'Geelmielies Yellow maize'!O17</f>
        <v>1581</v>
      </c>
      <c r="P17" s="103">
        <f>'Witmielies White maize'!P17+'Geelmielies Yellow maize'!P17</f>
        <v>2131</v>
      </c>
      <c r="Q17" s="306">
        <f>'Witmielies White maize'!Q17+'Geelmielies Yellow maize'!Q17</f>
        <v>2336</v>
      </c>
      <c r="R17" s="103">
        <f>'Witmielies White maize'!R17+'Geelmielies Yellow maize'!R17</f>
        <v>994</v>
      </c>
      <c r="S17" s="708">
        <f>'Witmielies White maize'!S17+'Geelmielies Yellow maize'!S17</f>
        <v>1417.393</v>
      </c>
      <c r="T17" s="637">
        <f>'Witmielies White maize'!T17+'Geelmielies Yellow maize'!T17</f>
        <v>589.0279999999993</v>
      </c>
      <c r="U17" s="637">
        <f>'Witmielies White maize'!U17+'Geelmielies Yellow maize'!U17</f>
        <v>589.0279999999993</v>
      </c>
      <c r="V17" s="637">
        <f>T17</f>
        <v>589.0279999999993</v>
      </c>
      <c r="W17" s="651">
        <f>(U17-T17)/T17</f>
        <v>0</v>
      </c>
      <c r="X17" s="651">
        <f>(U17-S17)/S17</f>
        <v>-0.5844285953154846</v>
      </c>
    </row>
    <row r="18" spans="1:24" s="7" customFormat="1" ht="12.75" customHeight="1">
      <c r="A18" s="59"/>
      <c r="B18" s="40" t="s">
        <v>79</v>
      </c>
      <c r="C18" s="195">
        <f>('Witmielies White maize'!C18+'Geelmielies Yellow maize'!C18)</f>
        <v>9732</v>
      </c>
      <c r="D18" s="196">
        <f>('Witmielies White maize'!D18+'Geelmielies Yellow maize'!D18)</f>
        <v>6854</v>
      </c>
      <c r="E18" s="195">
        <f>('Witmielies White maize'!E18+'Geelmielies Yellow maize'!E18)</f>
        <v>7075</v>
      </c>
      <c r="F18" s="196">
        <f>('Witmielies White maize'!F18+'Geelmielies Yellow maize'!F18)</f>
        <v>10409</v>
      </c>
      <c r="G18" s="195">
        <f>('Witmielies White maize'!G18+'Geelmielies Yellow maize'!G18)</f>
        <v>7936</v>
      </c>
      <c r="H18" s="196">
        <f>('Witmielies White maize'!H18+'Geelmielies Yellow maize'!H18)</f>
        <v>9310</v>
      </c>
      <c r="I18" s="195">
        <f>('Witmielies White maize'!I18+'Geelmielies Yellow maize'!I18)</f>
        <v>8409</v>
      </c>
      <c r="J18" s="196">
        <f>('Witmielies White maize'!J18+'Geelmielies Yellow maize'!J18)</f>
        <v>9093</v>
      </c>
      <c r="K18" s="195">
        <f>('Witmielies White maize'!K18+'Geelmielies Yellow maize'!K18)</f>
        <v>10055</v>
      </c>
      <c r="L18" s="195">
        <f>('Witmielies White maize'!L18+'Geelmielies Yellow maize'!L18)</f>
        <v>6707</v>
      </c>
      <c r="M18" s="197">
        <f>('Witmielies White maize'!M18+'Geelmielies Yellow maize'!M18)</f>
        <v>6882</v>
      </c>
      <c r="N18" s="197">
        <f>('Witmielies White maize'!N18+'Geelmielies Yellow maize'!N18)</f>
        <v>11899</v>
      </c>
      <c r="O18" s="280">
        <f>'Witmielies White maize'!O18+'Geelmielies Yellow maize'!O18</f>
        <v>11629</v>
      </c>
      <c r="P18" s="103">
        <f>'Witmielies White maize'!P18+'Geelmielies Yellow maize'!P18</f>
        <v>12016</v>
      </c>
      <c r="Q18" s="306">
        <f>'Witmielies White maize'!Q18+'Geelmielies Yellow maize'!Q18</f>
        <v>10340</v>
      </c>
      <c r="R18" s="103">
        <f>'Witmielies White maize'!R18+'Geelmielies Yellow maize'!R18</f>
        <v>11929</v>
      </c>
      <c r="S18" s="709">
        <f>'Witmielies White maize'!S18+'Geelmielies Yellow maize'!S18</f>
        <v>10991.994999999999</v>
      </c>
      <c r="T18" s="637">
        <f>'Witmielies White maize'!T18+'Geelmielies Yellow maize'!T18</f>
        <v>13728.083</v>
      </c>
      <c r="U18" s="637">
        <f>'Witmielies White maize'!U18+'Geelmielies Yellow maize'!U18</f>
        <v>13728.083</v>
      </c>
      <c r="V18" s="637">
        <f>T18</f>
        <v>13728.083</v>
      </c>
      <c r="W18" s="651">
        <f>(U18-T18)/T18</f>
        <v>0</v>
      </c>
      <c r="X18" s="651">
        <f>(U18-S18)/S18</f>
        <v>0.24891641599181966</v>
      </c>
    </row>
    <row r="19" spans="2:24" ht="12.75" customHeight="1" thickBot="1">
      <c r="B19" s="41" t="s">
        <v>22</v>
      </c>
      <c r="C19" s="198">
        <f>('Witmielies White maize'!C19+'Geelmielies Yellow maize'!C19)</f>
        <v>109</v>
      </c>
      <c r="D19" s="199">
        <f>('Witmielies White maize'!D19+'Geelmielies Yellow maize'!D19)</f>
        <v>98</v>
      </c>
      <c r="E19" s="198">
        <f>('Witmielies White maize'!E19+'Geelmielies Yellow maize'!E19)</f>
        <v>569</v>
      </c>
      <c r="F19" s="199">
        <f>('Witmielies White maize'!F19+'Geelmielies Yellow maize'!F19)</f>
        <v>0</v>
      </c>
      <c r="G19" s="198">
        <f>('Witmielies White maize'!G19+'Geelmielies Yellow maize'!G19)</f>
        <v>395</v>
      </c>
      <c r="H19" s="199">
        <f>('Witmielies White maize'!H19+'Geelmielies Yellow maize'!H19)</f>
        <v>925</v>
      </c>
      <c r="I19" s="198">
        <f>('Witmielies White maize'!I19+'Geelmielies Yellow maize'!I19)</f>
        <v>441</v>
      </c>
      <c r="J19" s="199">
        <f>('Witmielies White maize'!J19+'Geelmielies Yellow maize'!J19)</f>
        <v>219</v>
      </c>
      <c r="K19" s="198">
        <f>('Witmielies White maize'!K19+'Geelmielies Yellow maize'!K19)</f>
        <v>360</v>
      </c>
      <c r="L19" s="249">
        <f>('Witmielies White maize'!L19+'Geelmielies Yellow maize'!L19)</f>
        <v>930</v>
      </c>
      <c r="M19" s="200">
        <f>('Witmielies White maize'!M19+'Geelmielies Yellow maize'!M19)</f>
        <v>1120</v>
      </c>
      <c r="N19" s="200">
        <f>('Witmielies White maize'!N19+'Geelmielies Yellow maize'!N19)</f>
        <v>27</v>
      </c>
      <c r="O19" s="281">
        <f>('Witmielies White maize'!O19+'Geelmielies Yellow maize'!O19)</f>
        <v>27</v>
      </c>
      <c r="P19" s="291">
        <f>('Witmielies White maize'!P19+'Geelmielies Yellow maize'!P19)</f>
        <v>0</v>
      </c>
      <c r="Q19" s="462">
        <f>('Witmielies White maize'!Q19+'Geelmielies Yellow maize'!Q19)</f>
        <v>421</v>
      </c>
      <c r="R19" s="755">
        <f>('Witmielies White maize'!R19+'Geelmielies Yellow maize'!R19)</f>
        <v>11</v>
      </c>
      <c r="S19" s="708">
        <f>'Witmielies White maize'!S19+'Geelmielies Yellow maize'!S19</f>
        <v>79.682</v>
      </c>
      <c r="T19" s="638">
        <v>0</v>
      </c>
      <c r="U19" s="638">
        <v>0</v>
      </c>
      <c r="V19" s="638">
        <v>0</v>
      </c>
      <c r="W19" s="651"/>
      <c r="X19" s="651">
        <f>(U19-S19)/S19</f>
        <v>-1</v>
      </c>
    </row>
    <row r="20" spans="1:24" s="1" customFormat="1" ht="12.75" customHeight="1" thickBot="1">
      <c r="A20" s="61"/>
      <c r="B20" s="34" t="s">
        <v>23</v>
      </c>
      <c r="C20" s="113">
        <f>('Witmielies White maize'!C20+'Geelmielies Yellow maize'!C20)</f>
        <v>11124</v>
      </c>
      <c r="D20" s="115">
        <f>('Witmielies White maize'!D20+'Geelmielies Yellow maize'!D20)</f>
        <v>8901</v>
      </c>
      <c r="E20" s="113">
        <f>('Witmielies White maize'!E20+'Geelmielies Yellow maize'!E20)</f>
        <v>8491</v>
      </c>
      <c r="F20" s="115">
        <f>('Witmielies White maize'!F20+'Geelmielies Yellow maize'!F20)</f>
        <v>11392</v>
      </c>
      <c r="G20" s="113">
        <f>('Witmielies White maize'!G20+'Geelmielies Yellow maize'!G20)</f>
        <v>10446</v>
      </c>
      <c r="H20" s="114">
        <f>('Witmielies White maize'!H20+'Geelmielies Yellow maize'!H20)</f>
        <v>11437</v>
      </c>
      <c r="I20" s="113">
        <f>('Witmielies White maize'!I20+'Geelmielies Yellow maize'!I20)</f>
        <v>11560</v>
      </c>
      <c r="J20" s="115">
        <f>('Witmielies White maize'!J20+'Geelmielies Yellow maize'!J20)</f>
        <v>11936</v>
      </c>
      <c r="K20" s="113">
        <f>('Witmielies White maize'!K20+'Geelmielies Yellow maize'!K20)</f>
        <v>13563</v>
      </c>
      <c r="L20" s="113">
        <f>('Witmielies White maize'!L20+'Geelmielies Yellow maize'!L20)</f>
        <v>10805</v>
      </c>
      <c r="M20" s="201">
        <f>('Witmielies White maize'!M20+'Geelmielies Yellow maize'!M20)</f>
        <v>10072</v>
      </c>
      <c r="N20" s="201">
        <f>('Witmielies White maize'!N20+'Geelmielies Yellow maize'!N20)</f>
        <v>12975</v>
      </c>
      <c r="O20" s="282">
        <f aca="true" t="shared" si="4" ref="O20:T20">SUM(O17:O19)</f>
        <v>13237</v>
      </c>
      <c r="P20" s="117">
        <f t="shared" si="4"/>
        <v>14147</v>
      </c>
      <c r="Q20" s="463">
        <f t="shared" si="4"/>
        <v>13097</v>
      </c>
      <c r="R20" s="629">
        <f t="shared" si="4"/>
        <v>12934</v>
      </c>
      <c r="S20" s="710">
        <f t="shared" si="4"/>
        <v>12489.07</v>
      </c>
      <c r="T20" s="639">
        <f t="shared" si="4"/>
        <v>14317.111</v>
      </c>
      <c r="U20" s="639">
        <f>SUM(U17:U19)</f>
        <v>14317.111</v>
      </c>
      <c r="V20" s="639">
        <f>V17+V18</f>
        <v>14317.111</v>
      </c>
      <c r="W20" s="651">
        <f>(U20-T20)/T20</f>
        <v>0</v>
      </c>
      <c r="X20" s="651">
        <f>(U20-S20)/S20</f>
        <v>0.14637126703589629</v>
      </c>
    </row>
    <row r="21" spans="1:24" s="1" customFormat="1" ht="12.75" customHeight="1">
      <c r="A21" s="61"/>
      <c r="B21" s="240"/>
      <c r="C21" s="238"/>
      <c r="D21" s="236"/>
      <c r="E21" s="234"/>
      <c r="F21" s="236"/>
      <c r="G21" s="234"/>
      <c r="H21" s="236"/>
      <c r="I21" s="234"/>
      <c r="J21" s="236"/>
      <c r="K21" s="234"/>
      <c r="L21" s="234"/>
      <c r="M21" s="248"/>
      <c r="N21" s="248"/>
      <c r="O21" s="283"/>
      <c r="P21" s="292"/>
      <c r="Q21" s="464"/>
      <c r="R21" s="239"/>
      <c r="S21" s="711"/>
      <c r="T21" s="640"/>
      <c r="U21" s="640"/>
      <c r="V21" s="640"/>
      <c r="W21" s="651"/>
      <c r="X21" s="651"/>
    </row>
    <row r="22" spans="2:24" ht="12.75" customHeight="1">
      <c r="B22" s="32" t="s">
        <v>34</v>
      </c>
      <c r="C22" s="125"/>
      <c r="D22" s="202"/>
      <c r="E22" s="125"/>
      <c r="F22" s="202"/>
      <c r="G22" s="125"/>
      <c r="H22" s="202"/>
      <c r="I22" s="125"/>
      <c r="J22" s="202"/>
      <c r="K22" s="125"/>
      <c r="L22" s="125"/>
      <c r="M22" s="203"/>
      <c r="N22" s="203"/>
      <c r="O22" s="284"/>
      <c r="P22" s="105"/>
      <c r="Q22" s="307"/>
      <c r="R22" s="105"/>
      <c r="S22" s="712"/>
      <c r="T22" s="641"/>
      <c r="U22" s="641"/>
      <c r="V22" s="641"/>
      <c r="W22" s="651"/>
      <c r="X22" s="651"/>
    </row>
    <row r="23" spans="2:24" ht="12.75" customHeight="1">
      <c r="B23" s="40" t="s">
        <v>12</v>
      </c>
      <c r="C23" s="195"/>
      <c r="D23" s="196"/>
      <c r="E23" s="195"/>
      <c r="F23" s="196"/>
      <c r="G23" s="195"/>
      <c r="H23" s="196"/>
      <c r="I23" s="195"/>
      <c r="J23" s="196"/>
      <c r="K23" s="195"/>
      <c r="L23" s="195"/>
      <c r="M23" s="197"/>
      <c r="N23" s="197"/>
      <c r="O23" s="284"/>
      <c r="P23" s="105"/>
      <c r="Q23" s="307"/>
      <c r="R23" s="105"/>
      <c r="S23" s="712"/>
      <c r="T23" s="641"/>
      <c r="U23" s="641"/>
      <c r="V23" s="641"/>
      <c r="W23" s="651"/>
      <c r="X23" s="651"/>
    </row>
    <row r="24" spans="2:24" ht="12.75" customHeight="1">
      <c r="B24" s="40" t="s">
        <v>13</v>
      </c>
      <c r="C24" s="195">
        <f>('Witmielies White maize'!C24+'Geelmielies Yellow maize'!C24)</f>
        <v>3410</v>
      </c>
      <c r="D24" s="196">
        <f>('Witmielies White maize'!D24+'Geelmielies Yellow maize'!D24)</f>
        <v>3381</v>
      </c>
      <c r="E24" s="195">
        <f>('Witmielies White maize'!E24+'Geelmielies Yellow maize'!E24)</f>
        <v>3426</v>
      </c>
      <c r="F24" s="196">
        <f>('Witmielies White maize'!F24+'Geelmielies Yellow maize'!F24)</f>
        <v>3589</v>
      </c>
      <c r="G24" s="195">
        <f>('Witmielies White maize'!G24+'Geelmielies Yellow maize'!G24)</f>
        <v>3877</v>
      </c>
      <c r="H24" s="196">
        <f>('Witmielies White maize'!H24+'Geelmielies Yellow maize'!H24)</f>
        <v>3708</v>
      </c>
      <c r="I24" s="195">
        <f>('Witmielies White maize'!I24+'Geelmielies Yellow maize'!I24)</f>
        <v>3712</v>
      </c>
      <c r="J24" s="196">
        <f>('Witmielies White maize'!J24+'Geelmielies Yellow maize'!J24)</f>
        <v>3740</v>
      </c>
      <c r="K24" s="195">
        <f>('Witmielies White maize'!K24+'Geelmielies Yellow maize'!K24)</f>
        <v>3825</v>
      </c>
      <c r="L24" s="197">
        <f>('Witmielies White maize'!L24+'Geelmielies Yellow maize'!L24)</f>
        <v>3816</v>
      </c>
      <c r="M24" s="197">
        <f>('Witmielies White maize'!M24+'Geelmielies Yellow maize'!M24)</f>
        <v>3809</v>
      </c>
      <c r="N24" s="197">
        <f>('Witmielies White maize'!N24+'Geelmielies Yellow maize'!N24)</f>
        <v>4524</v>
      </c>
      <c r="O24" s="280">
        <f>'Witmielies White maize'!O24+'Geelmielies Yellow maize'!O24</f>
        <v>4471</v>
      </c>
      <c r="P24" s="103">
        <f>'Witmielies White maize'!P24+'Geelmielies Yellow maize'!P24</f>
        <v>4513</v>
      </c>
      <c r="Q24" s="306">
        <f>'Witmielies White maize'!Q24+'Geelmielies Yellow maize'!Q24</f>
        <v>4512</v>
      </c>
      <c r="R24" s="103">
        <f>'Witmielies White maize'!R24+'Geelmielies Yellow maize'!R24</f>
        <v>4499</v>
      </c>
      <c r="S24" s="708">
        <f>'Witmielies White maize'!S24+'Geelmielies Yellow maize'!S24</f>
        <v>4582.31</v>
      </c>
      <c r="T24" s="637">
        <f>'Witmielies White maize'!T24+'Geelmielies Yellow maize'!T24</f>
        <v>4736</v>
      </c>
      <c r="U24" s="637">
        <f>'Witmielies White maize'!U24+'Geelmielies Yellow maize'!U24</f>
        <v>4736</v>
      </c>
      <c r="V24" s="637">
        <v>4683</v>
      </c>
      <c r="W24" s="651">
        <f>(U24-T24)/T24</f>
        <v>0</v>
      </c>
      <c r="X24" s="651">
        <f>(U24-S24)/S24</f>
        <v>0.033539852170630005</v>
      </c>
    </row>
    <row r="25" spans="2:24" ht="12.75" customHeight="1">
      <c r="B25" s="40" t="s">
        <v>14</v>
      </c>
      <c r="C25" s="195">
        <f>('Witmielies White maize'!C25+'Geelmielies Yellow maize'!C25)</f>
        <v>2973</v>
      </c>
      <c r="D25" s="196">
        <f>('Witmielies White maize'!D25+'Geelmielies Yellow maize'!D25)</f>
        <v>2960</v>
      </c>
      <c r="E25" s="195">
        <f>('Witmielies White maize'!E25+'Geelmielies Yellow maize'!E25)</f>
        <v>2936</v>
      </c>
      <c r="F25" s="196">
        <f>('Witmielies White maize'!F25+'Geelmielies Yellow maize'!F25)</f>
        <v>3068</v>
      </c>
      <c r="G25" s="195">
        <f>('Witmielies White maize'!G25+'Geelmielies Yellow maize'!G25)</f>
        <v>3146</v>
      </c>
      <c r="H25" s="196">
        <f>('Witmielies White maize'!H25+'Geelmielies Yellow maize'!H25)</f>
        <v>3155</v>
      </c>
      <c r="I25" s="195">
        <f>('Witmielies White maize'!I25+'Geelmielies Yellow maize'!I25)</f>
        <v>3416</v>
      </c>
      <c r="J25" s="196">
        <f>('Witmielies White maize'!J25+'Geelmielies Yellow maize'!J25)</f>
        <v>3427</v>
      </c>
      <c r="K25" s="195">
        <f>('Witmielies White maize'!K25+'Geelmielies Yellow maize'!K25)</f>
        <v>3537</v>
      </c>
      <c r="L25" s="197">
        <f>('Witmielies White maize'!L25+'Geelmielies Yellow maize'!L25)</f>
        <v>3763</v>
      </c>
      <c r="M25" s="197">
        <f>('Witmielies White maize'!M25+'Geelmielies Yellow maize'!M25)</f>
        <v>4157</v>
      </c>
      <c r="N25" s="197">
        <f>('Witmielies White maize'!N25+'Geelmielies Yellow maize'!N25)</f>
        <v>4130</v>
      </c>
      <c r="O25" s="280">
        <f>'Witmielies White maize'!O25+'Geelmielies Yellow maize'!O25</f>
        <v>4101</v>
      </c>
      <c r="P25" s="103">
        <f>'Witmielies White maize'!P25+'Geelmielies Yellow maize'!P25</f>
        <v>4271</v>
      </c>
      <c r="Q25" s="306">
        <f>'Witmielies White maize'!Q25+'Geelmielies Yellow maize'!Q25</f>
        <v>4362</v>
      </c>
      <c r="R25" s="103">
        <f>'Witmielies White maize'!R25+'Geelmielies Yellow maize'!R25</f>
        <v>4378</v>
      </c>
      <c r="S25" s="708">
        <f>'Witmielies White maize'!S25+'Geelmielies Yellow maize'!S25</f>
        <v>4715.295</v>
      </c>
      <c r="T25" s="637">
        <f>'Witmielies White maize'!T25+'Geelmielies Yellow maize'!T25</f>
        <v>4870</v>
      </c>
      <c r="U25" s="637">
        <f>'Witmielies White maize'!U25+'Geelmielies Yellow maize'!U25</f>
        <v>4870</v>
      </c>
      <c r="V25" s="637">
        <v>4848</v>
      </c>
      <c r="W25" s="651">
        <f>(U25-T25)/T25</f>
        <v>0</v>
      </c>
      <c r="X25" s="651">
        <f>(U25-S25)/S25</f>
        <v>0.03280918797233257</v>
      </c>
    </row>
    <row r="26" spans="2:24" ht="12.75" customHeight="1">
      <c r="B26" s="40" t="s">
        <v>15</v>
      </c>
      <c r="C26" s="195">
        <f>('Witmielies White maize'!C26+'Geelmielies Yellow maize'!C26)</f>
        <v>6383</v>
      </c>
      <c r="D26" s="196">
        <f>('Witmielies White maize'!D26+'Geelmielies Yellow maize'!D26)</f>
        <v>6341</v>
      </c>
      <c r="E26" s="195">
        <f>('Witmielies White maize'!E26+'Geelmielies Yellow maize'!E26)</f>
        <v>6362</v>
      </c>
      <c r="F26" s="196">
        <f>('Witmielies White maize'!F26+'Geelmielies Yellow maize'!F26)</f>
        <v>6657</v>
      </c>
      <c r="G26" s="195">
        <f>('Witmielies White maize'!G26+'Geelmielies Yellow maize'!G26)</f>
        <v>7023</v>
      </c>
      <c r="H26" s="196">
        <f>('Witmielies White maize'!H26+'Geelmielies Yellow maize'!H26)</f>
        <v>6863</v>
      </c>
      <c r="I26" s="125">
        <f>('Witmielies White maize'!I26+'Geelmielies Yellow maize'!I26)</f>
        <v>7128</v>
      </c>
      <c r="J26" s="202">
        <f>('Witmielies White maize'!J26+'Geelmielies Yellow maize'!J26)</f>
        <v>7167</v>
      </c>
      <c r="K26" s="125">
        <f>('Witmielies White maize'!K26+'Geelmielies Yellow maize'!K26)</f>
        <v>7362</v>
      </c>
      <c r="L26" s="203">
        <f>('Witmielies White maize'!L26+'Geelmielies Yellow maize'!L26)</f>
        <v>7579</v>
      </c>
      <c r="M26" s="203">
        <f>('Witmielies White maize'!M26+'Geelmielies Yellow maize'!M26)</f>
        <v>7966</v>
      </c>
      <c r="N26" s="203">
        <f>('Witmielies White maize'!N26+'Geelmielies Yellow maize'!N26)</f>
        <v>8654</v>
      </c>
      <c r="O26" s="285">
        <f aca="true" t="shared" si="5" ref="O26:T26">(O24+O25)</f>
        <v>8572</v>
      </c>
      <c r="P26" s="127">
        <f t="shared" si="5"/>
        <v>8784</v>
      </c>
      <c r="Q26" s="311">
        <f t="shared" si="5"/>
        <v>8874</v>
      </c>
      <c r="R26" s="127">
        <f t="shared" si="5"/>
        <v>8877</v>
      </c>
      <c r="S26" s="713">
        <f t="shared" si="5"/>
        <v>9297.605</v>
      </c>
      <c r="T26" s="642">
        <f t="shared" si="5"/>
        <v>9606</v>
      </c>
      <c r="U26" s="642">
        <f>(U24+U25)</f>
        <v>9606</v>
      </c>
      <c r="V26" s="642">
        <f>V24+V25</f>
        <v>9531</v>
      </c>
      <c r="W26" s="651">
        <f>(U26-T26)/T26</f>
        <v>0</v>
      </c>
      <c r="X26" s="651">
        <f>(U26-S26)/S26</f>
        <v>0.033169294673198145</v>
      </c>
    </row>
    <row r="27" spans="2:24" ht="12.75" customHeight="1" thickBot="1">
      <c r="B27" s="31" t="s">
        <v>78</v>
      </c>
      <c r="C27" s="195"/>
      <c r="D27" s="196"/>
      <c r="E27" s="195"/>
      <c r="F27" s="196"/>
      <c r="G27" s="195"/>
      <c r="H27" s="196"/>
      <c r="I27" s="195"/>
      <c r="J27" s="196"/>
      <c r="K27" s="195"/>
      <c r="L27" s="197"/>
      <c r="M27" s="197"/>
      <c r="N27" s="197"/>
      <c r="O27" s="284"/>
      <c r="P27" s="105"/>
      <c r="Q27" s="307"/>
      <c r="R27" s="757"/>
      <c r="S27" s="712"/>
      <c r="T27" s="641"/>
      <c r="U27" s="641"/>
      <c r="V27" s="641"/>
      <c r="W27" s="651"/>
      <c r="X27" s="651"/>
    </row>
    <row r="28" spans="2:24" ht="12.75" customHeight="1">
      <c r="B28" s="31" t="s">
        <v>16</v>
      </c>
      <c r="C28" s="195">
        <f>'Witmielies White maize'!C28+'Geelmielies Yellow maize'!C28</f>
        <v>0</v>
      </c>
      <c r="D28" s="323">
        <f>'Witmielies White maize'!D28+'Geelmielies Yellow maize'!D28</f>
        <v>0</v>
      </c>
      <c r="E28" s="195">
        <f>'Witmielies White maize'!E28+'Geelmielies Yellow maize'!E28</f>
        <v>0</v>
      </c>
      <c r="F28" s="195">
        <f>'Witmielies White maize'!F28+'Geelmielies Yellow maize'!F28</f>
        <v>195</v>
      </c>
      <c r="G28" s="195">
        <f>'Witmielies White maize'!G28+'Geelmielies Yellow maize'!G28</f>
        <v>128</v>
      </c>
      <c r="H28" s="195">
        <f>'Witmielies White maize'!H28+'Geelmielies Yellow maize'!H28</f>
        <v>120</v>
      </c>
      <c r="I28" s="195">
        <f>'Witmielies White maize'!I28+'Geelmielies Yellow maize'!I28</f>
        <v>115</v>
      </c>
      <c r="J28" s="195">
        <f>'Witmielies White maize'!J28+'Geelmielies Yellow maize'!J28</f>
        <v>116</v>
      </c>
      <c r="K28" s="195">
        <f>'Witmielies White maize'!K28+'Geelmielies Yellow maize'!K28</f>
        <v>100</v>
      </c>
      <c r="L28" s="195">
        <f>'Witmielies White maize'!L28+'Geelmielies Yellow maize'!L28</f>
        <v>81</v>
      </c>
      <c r="M28" s="195">
        <f>'Witmielies White maize'!M28+'Geelmielies Yellow maize'!M28</f>
        <v>63</v>
      </c>
      <c r="N28" s="195">
        <f>'Witmielies White maize'!N28+'Geelmielies Yellow maize'!N28</f>
        <v>69</v>
      </c>
      <c r="O28" s="195">
        <f>'Witmielies White maize'!O28+'Geelmielies Yellow maize'!O28</f>
        <v>86</v>
      </c>
      <c r="P28" s="195">
        <f>'Witmielies White maize'!P28+'Geelmielies Yellow maize'!P28</f>
        <v>73</v>
      </c>
      <c r="Q28" s="195">
        <f>'Witmielies White maize'!Q28+'Geelmielies Yellow maize'!Q28</f>
        <v>67</v>
      </c>
      <c r="R28" s="756">
        <f>'Witmielies White maize'!R28+'Geelmielies Yellow maize'!R28</f>
        <v>58</v>
      </c>
      <c r="S28" s="714">
        <f>'Witmielies White maize'!S28+'Geelmielies Yellow maize'!S28</f>
        <v>51.065</v>
      </c>
      <c r="T28" s="643">
        <f>'Witmielies White maize'!T28+'Geelmielies Yellow maize'!T28</f>
        <v>72</v>
      </c>
      <c r="U28" s="643">
        <f>'Witmielies White maize'!U28+'Geelmielies Yellow maize'!U28</f>
        <v>72</v>
      </c>
      <c r="V28" s="643">
        <v>64</v>
      </c>
      <c r="W28" s="651">
        <f>(U28-T28)/T28</f>
        <v>0</v>
      </c>
      <c r="X28" s="651">
        <f>(U28-S28)/S28</f>
        <v>0.4099676882404779</v>
      </c>
    </row>
    <row r="29" spans="2:24" ht="12.75" customHeight="1">
      <c r="B29" s="31" t="s">
        <v>88</v>
      </c>
      <c r="C29" s="195">
        <f>'Witmielies White maize'!C29+'Geelmielies Yellow maize'!C29</f>
        <v>211</v>
      </c>
      <c r="D29" s="323">
        <f>'Witmielies White maize'!D29+'Geelmielies Yellow maize'!D29</f>
        <v>0</v>
      </c>
      <c r="E29" s="195">
        <f>'Witmielies White maize'!E29+'Geelmielies Yellow maize'!E29</f>
        <v>0</v>
      </c>
      <c r="F29" s="195">
        <f>'Witmielies White maize'!F29+'Geelmielies Yellow maize'!F29</f>
        <v>500</v>
      </c>
      <c r="G29" s="195">
        <f>'Witmielies White maize'!G29+'Geelmielies Yellow maize'!G29</f>
        <v>325</v>
      </c>
      <c r="H29" s="195">
        <f>'Witmielies White maize'!H29+'Geelmielies Yellow maize'!H29</f>
        <v>301</v>
      </c>
      <c r="I29" s="195">
        <f>'Witmielies White maize'!I29+'Geelmielies Yellow maize'!I29</f>
        <v>299</v>
      </c>
      <c r="J29" s="195">
        <f>'Witmielies White maize'!J29+'Geelmielies Yellow maize'!J29</f>
        <v>255</v>
      </c>
      <c r="K29" s="195">
        <f>'Witmielies White maize'!K29+'Geelmielies Yellow maize'!K29</f>
        <v>315</v>
      </c>
      <c r="L29" s="195">
        <f>'Witmielies White maize'!L29+'Geelmielies Yellow maize'!L29</f>
        <v>241</v>
      </c>
      <c r="M29" s="195">
        <f>'Witmielies White maize'!M29+'Geelmielies Yellow maize'!M29</f>
        <v>217</v>
      </c>
      <c r="N29" s="195">
        <f>'Witmielies White maize'!N29+'Geelmielies Yellow maize'!N29</f>
        <v>273</v>
      </c>
      <c r="O29" s="195">
        <f>'Witmielies White maize'!O29+'Geelmielies Yellow maize'!O29</f>
        <v>291</v>
      </c>
      <c r="P29" s="195">
        <f>'Witmielies White maize'!P29+'Geelmielies Yellow maize'!P29</f>
        <v>267</v>
      </c>
      <c r="Q29" s="195">
        <f>'Witmielies White maize'!Q29+'Geelmielies Yellow maize'!Q29</f>
        <v>142</v>
      </c>
      <c r="R29" s="630">
        <f>'Witmielies White maize'!R29+'Geelmielies Yellow maize'!R29</f>
        <v>138</v>
      </c>
      <c r="S29" s="714">
        <f>'Witmielies White maize'!S29+'Geelmielies Yellow maize'!S29</f>
        <v>148.909</v>
      </c>
      <c r="T29" s="643">
        <f>'Witmielies White maize'!T29+'Geelmielies Yellow maize'!T29</f>
        <v>160</v>
      </c>
      <c r="U29" s="643">
        <f>'Witmielies White maize'!U29+'Geelmielies Yellow maize'!U29</f>
        <v>177</v>
      </c>
      <c r="V29" s="643">
        <v>315</v>
      </c>
      <c r="W29" s="651">
        <f>(U29-T29)/T29</f>
        <v>0.10625</v>
      </c>
      <c r="X29" s="651">
        <f>(U29-S29)/S29</f>
        <v>0.1886454143134398</v>
      </c>
    </row>
    <row r="30" spans="2:24" ht="12.75" customHeight="1">
      <c r="B30" s="31" t="s">
        <v>89</v>
      </c>
      <c r="C30" s="195">
        <f>'Witmielies White maize'!C30+'Geelmielies Yellow maize'!C30</f>
        <v>0</v>
      </c>
      <c r="D30" s="323">
        <f>'Witmielies White maize'!D30+'Geelmielies Yellow maize'!D30</f>
        <v>0</v>
      </c>
      <c r="E30" s="195">
        <f>'Witmielies White maize'!E30+'Geelmielies Yellow maize'!E30</f>
        <v>423</v>
      </c>
      <c r="F30" s="195">
        <f>'Witmielies White maize'!F30+'Geelmielies Yellow maize'!F30</f>
        <v>267</v>
      </c>
      <c r="G30" s="195">
        <f>'Witmielies White maize'!G30+'Geelmielies Yellow maize'!G30</f>
        <v>214</v>
      </c>
      <c r="H30" s="195">
        <f>'Witmielies White maize'!H30+'Geelmielies Yellow maize'!H30</f>
        <v>206</v>
      </c>
      <c r="I30" s="195">
        <f>'Witmielies White maize'!I30+'Geelmielies Yellow maize'!I30</f>
        <v>224</v>
      </c>
      <c r="J30" s="195">
        <f>'Witmielies White maize'!J30+'Geelmielies Yellow maize'!J30</f>
        <v>351</v>
      </c>
      <c r="K30" s="195">
        <f>'Witmielies White maize'!K30+'Geelmielies Yellow maize'!K30</f>
        <v>340</v>
      </c>
      <c r="L30" s="195">
        <f>'Witmielies White maize'!L30+'Geelmielies Yellow maize'!L30</f>
        <v>235</v>
      </c>
      <c r="M30" s="195">
        <f>'Witmielies White maize'!M30+'Geelmielies Yellow maize'!M30</f>
        <v>230</v>
      </c>
      <c r="N30" s="195">
        <f>'Witmielies White maize'!N30+'Geelmielies Yellow maize'!N30</f>
        <v>220</v>
      </c>
      <c r="O30" s="195">
        <f>'Witmielies White maize'!O30+'Geelmielies Yellow maize'!O30</f>
        <v>378</v>
      </c>
      <c r="P30" s="195">
        <f>'Witmielies White maize'!P30+'Geelmielies Yellow maize'!P30</f>
        <v>526</v>
      </c>
      <c r="Q30" s="195">
        <f>'Witmielies White maize'!Q30+'Geelmielies Yellow maize'!Q30</f>
        <v>484</v>
      </c>
      <c r="R30" s="630">
        <f>'Witmielies White maize'!R30+'Geelmielies Yellow maize'!R30</f>
        <v>478</v>
      </c>
      <c r="S30" s="714">
        <f>'Witmielies White maize'!S30+'Geelmielies Yellow maize'!S30</f>
        <v>280.432</v>
      </c>
      <c r="T30" s="643">
        <f>'Witmielies White maize'!T30+'Geelmielies Yellow maize'!T30</f>
        <v>280</v>
      </c>
      <c r="U30" s="643">
        <f>'Witmielies White maize'!U30+'Geelmielies Yellow maize'!U30</f>
        <v>280</v>
      </c>
      <c r="V30" s="643">
        <v>455</v>
      </c>
      <c r="W30" s="651">
        <f>(U30-T30)/T30</f>
        <v>0</v>
      </c>
      <c r="X30" s="651">
        <f>(U30-S30)/S30</f>
        <v>-0.0015404804016660592</v>
      </c>
    </row>
    <row r="31" spans="2:24" ht="12.75" customHeight="1" thickBot="1">
      <c r="B31" s="31" t="s">
        <v>90</v>
      </c>
      <c r="C31" s="195">
        <f>'Witmielies White maize'!C31+'Geelmielies Yellow maize'!C31</f>
        <v>-98</v>
      </c>
      <c r="D31" s="323">
        <f>'Witmielies White maize'!D31+'Geelmielies Yellow maize'!D31</f>
        <v>98</v>
      </c>
      <c r="E31" s="195">
        <f>'Witmielies White maize'!E31+'Geelmielies Yellow maize'!E31</f>
        <v>74</v>
      </c>
      <c r="F31" s="195">
        <f>'Witmielies White maize'!F31+'Geelmielies Yellow maize'!F31</f>
        <v>170</v>
      </c>
      <c r="G31" s="195">
        <f>'Witmielies White maize'!G31+'Geelmielies Yellow maize'!G31</f>
        <v>219</v>
      </c>
      <c r="H31" s="195">
        <f>'Witmielies White maize'!H31+'Geelmielies Yellow maize'!H31</f>
        <v>49</v>
      </c>
      <c r="I31" s="195">
        <f>'Witmielies White maize'!I31+'Geelmielies Yellow maize'!I31</f>
        <v>-15</v>
      </c>
      <c r="J31" s="195">
        <f>'Witmielies White maize'!J31+'Geelmielies Yellow maize'!J31</f>
        <v>67</v>
      </c>
      <c r="K31" s="195">
        <f>'Witmielies White maize'!K31+'Geelmielies Yellow maize'!K31</f>
        <v>41</v>
      </c>
      <c r="L31" s="195">
        <f>'Witmielies White maize'!L31+'Geelmielies Yellow maize'!L31</f>
        <v>2</v>
      </c>
      <c r="M31" s="195">
        <f>'Witmielies White maize'!M31+'Geelmielies Yellow maize'!M31</f>
        <v>13</v>
      </c>
      <c r="N31" s="195">
        <f>'Witmielies White maize'!N31+'Geelmielies Yellow maize'!N31</f>
        <v>-88</v>
      </c>
      <c r="O31" s="195">
        <f>'Witmielies White maize'!O31+'Geelmielies Yellow maize'!O31</f>
        <v>-10</v>
      </c>
      <c r="P31" s="195">
        <f>'Witmielies White maize'!P31+'Geelmielies Yellow maize'!P31</f>
        <v>-31</v>
      </c>
      <c r="Q31" s="195">
        <f>'Witmielies White maize'!Q31+'Geelmielies Yellow maize'!Q31</f>
        <v>-39</v>
      </c>
      <c r="R31" s="758">
        <f>'Witmielies White maize'!R31+'Geelmielies Yellow maize'!R31</f>
        <v>44</v>
      </c>
      <c r="S31" s="714">
        <f>'Witmielies White maize'!S31+'Geelmielies Yellow maize'!S31</f>
        <v>-110.565</v>
      </c>
      <c r="T31" s="643">
        <f>'Witmielies White maize'!T31+'Geelmielies Yellow maize'!T31</f>
        <v>35</v>
      </c>
      <c r="U31" s="643">
        <f>'Witmielies White maize'!U31+'Geelmielies Yellow maize'!U31</f>
        <v>35</v>
      </c>
      <c r="V31" s="643">
        <v>35</v>
      </c>
      <c r="W31" s="651"/>
      <c r="X31" s="651"/>
    </row>
    <row r="32" spans="2:24" ht="12.75" customHeight="1">
      <c r="B32" s="31" t="s">
        <v>15</v>
      </c>
      <c r="C32" s="195">
        <f>('Witmielies White maize'!C32+'Geelmielies Yellow maize'!C32)</f>
        <v>113</v>
      </c>
      <c r="D32" s="196">
        <f>('Witmielies White maize'!D32+'Geelmielies Yellow maize'!D32)</f>
        <v>98</v>
      </c>
      <c r="E32" s="195">
        <f>('Witmielies White maize'!E32+'Geelmielies Yellow maize'!E32)</f>
        <v>497</v>
      </c>
      <c r="F32" s="196">
        <f>('Witmielies White maize'!F32+'Geelmielies Yellow maize'!F32)</f>
        <v>1132</v>
      </c>
      <c r="G32" s="195">
        <f>('Witmielies White maize'!G32+'Geelmielies Yellow maize'!G32)</f>
        <v>886</v>
      </c>
      <c r="H32" s="196">
        <f>('Witmielies White maize'!H32+'Geelmielies Yellow maize'!H32)</f>
        <v>676</v>
      </c>
      <c r="I32" s="195">
        <f>('Witmielies White maize'!I32+'Geelmielies Yellow maize'!I32)</f>
        <v>623</v>
      </c>
      <c r="J32" s="196">
        <f>('Witmielies White maize'!J32+'Geelmielies Yellow maize'!J32)</f>
        <v>789</v>
      </c>
      <c r="K32" s="195">
        <f>('Witmielies White maize'!K32+'Geelmielies Yellow maize'!K32)</f>
        <v>796</v>
      </c>
      <c r="L32" s="197">
        <f>('Witmielies White maize'!L32+'Geelmielies Yellow maize'!L32)</f>
        <v>559</v>
      </c>
      <c r="M32" s="197">
        <f>('Witmielies White maize'!M32+'Geelmielies Yellow maize'!M32)</f>
        <v>523</v>
      </c>
      <c r="N32" s="197">
        <f>('Witmielies White maize'!N32+'Geelmielies Yellow maize'!N32)</f>
        <v>474</v>
      </c>
      <c r="O32" s="280">
        <f>'Witmielies White maize'!O32+'Geelmielies Yellow maize'!O32</f>
        <v>745</v>
      </c>
      <c r="P32" s="103">
        <f>'Witmielies White maize'!P32+'Geelmielies Yellow maize'!P32</f>
        <v>835</v>
      </c>
      <c r="Q32" s="306">
        <f>'Witmielies White maize'!Q32+'Geelmielies Yellow maize'!Q32</f>
        <v>654</v>
      </c>
      <c r="R32" s="759">
        <f>'Witmielies White maize'!R32+'Geelmielies Yellow maize'!R32</f>
        <v>718</v>
      </c>
      <c r="S32" s="708">
        <f>'Witmielies White maize'!S32+'Geelmielies Yellow maize'!S32</f>
        <v>369.841</v>
      </c>
      <c r="T32" s="637">
        <f>'Witmielies White maize'!T32+'Geelmielies Yellow maize'!T32</f>
        <v>547</v>
      </c>
      <c r="U32" s="637">
        <f>'Witmielies White maize'!U32+'Geelmielies Yellow maize'!U32</f>
        <v>564</v>
      </c>
      <c r="V32" s="637">
        <f>SUM(V28:V31)</f>
        <v>869</v>
      </c>
      <c r="W32" s="651">
        <f>(U32-T32)/T32</f>
        <v>0.031078610603290677</v>
      </c>
      <c r="X32" s="651">
        <f>(U32-S32)/S32</f>
        <v>0.5249796534186312</v>
      </c>
    </row>
    <row r="33" spans="2:24" ht="12.75" customHeight="1">
      <c r="B33" s="31" t="s">
        <v>36</v>
      </c>
      <c r="C33" s="195">
        <f>('Witmielies White maize'!C33+'Geelmielies Yellow maize'!C33)</f>
        <v>6496</v>
      </c>
      <c r="D33" s="196">
        <f>('Witmielies White maize'!D33+'Geelmielies Yellow maize'!D33)</f>
        <v>6439</v>
      </c>
      <c r="E33" s="195">
        <f>('Witmielies White maize'!E33+'Geelmielies Yellow maize'!E33)</f>
        <v>6859</v>
      </c>
      <c r="F33" s="196">
        <f>('Witmielies White maize'!F33+'Geelmielies Yellow maize'!F33)</f>
        <v>7789</v>
      </c>
      <c r="G33" s="195">
        <f>('Witmielies White maize'!G33+'Geelmielies Yellow maize'!G33)</f>
        <v>7909</v>
      </c>
      <c r="H33" s="196">
        <f>('Witmielies White maize'!H33+'Geelmielies Yellow maize'!H33)</f>
        <v>7539</v>
      </c>
      <c r="I33" s="125">
        <f>('Witmielies White maize'!I33+'Geelmielies Yellow maize'!I33)</f>
        <v>7751</v>
      </c>
      <c r="J33" s="202">
        <f>('Witmielies White maize'!J33+'Geelmielies Yellow maize'!J33)</f>
        <v>7956</v>
      </c>
      <c r="K33" s="125">
        <f>('Witmielies White maize'!K33+'Geelmielies Yellow maize'!K33)</f>
        <v>8158</v>
      </c>
      <c r="L33" s="203">
        <f>('Witmielies White maize'!L33+'Geelmielies Yellow maize'!L33)</f>
        <v>8138</v>
      </c>
      <c r="M33" s="203">
        <f>('Witmielies White maize'!M33+'Geelmielies Yellow maize'!M33)</f>
        <v>8489</v>
      </c>
      <c r="N33" s="203">
        <f>('Witmielies White maize'!N33+'Geelmielies Yellow maize'!N33)</f>
        <v>9128</v>
      </c>
      <c r="O33" s="285">
        <f aca="true" t="shared" si="6" ref="O33:T33">(O26+O32)</f>
        <v>9317</v>
      </c>
      <c r="P33" s="127">
        <f t="shared" si="6"/>
        <v>9619</v>
      </c>
      <c r="Q33" s="311">
        <f t="shared" si="6"/>
        <v>9528</v>
      </c>
      <c r="R33" s="127">
        <f t="shared" si="6"/>
        <v>9595</v>
      </c>
      <c r="S33" s="713">
        <f t="shared" si="6"/>
        <v>9667.446</v>
      </c>
      <c r="T33" s="642">
        <f t="shared" si="6"/>
        <v>10153</v>
      </c>
      <c r="U33" s="642">
        <f>(U26+U32)</f>
        <v>10170</v>
      </c>
      <c r="V33" s="642">
        <f>V26+V32</f>
        <v>10400</v>
      </c>
      <c r="W33" s="651">
        <f>(U33-T33)/T33</f>
        <v>0.0016743819560720969</v>
      </c>
      <c r="X33" s="651">
        <f>(U33-S33)/S33</f>
        <v>0.05198415382925336</v>
      </c>
    </row>
    <row r="34" spans="2:24" ht="12.75" customHeight="1">
      <c r="B34" s="32" t="s">
        <v>17</v>
      </c>
      <c r="C34" s="195"/>
      <c r="D34" s="196"/>
      <c r="E34" s="195"/>
      <c r="F34" s="196"/>
      <c r="G34" s="195"/>
      <c r="H34" s="196"/>
      <c r="I34" s="195"/>
      <c r="J34" s="196"/>
      <c r="K34" s="195"/>
      <c r="L34" s="197"/>
      <c r="M34" s="197"/>
      <c r="N34" s="197"/>
      <c r="O34" s="284"/>
      <c r="P34" s="105"/>
      <c r="Q34" s="307"/>
      <c r="R34" s="105"/>
      <c r="S34" s="712"/>
      <c r="T34" s="641"/>
      <c r="U34" s="641"/>
      <c r="V34" s="641"/>
      <c r="W34" s="651"/>
      <c r="X34" s="651"/>
    </row>
    <row r="35" spans="2:24" ht="12.75" customHeight="1">
      <c r="B35" s="31" t="s">
        <v>24</v>
      </c>
      <c r="C35" s="195">
        <f>('Witmielies White maize'!C35+'Geelmielies Yellow maize'!C35)</f>
        <v>0</v>
      </c>
      <c r="D35" s="196">
        <f>('Witmielies White maize'!D35+'Geelmielies Yellow maize'!D35)</f>
        <v>0</v>
      </c>
      <c r="E35" s="195">
        <f>('Witmielies White maize'!E35+'Geelmielies Yellow maize'!E35)</f>
        <v>119</v>
      </c>
      <c r="F35" s="196">
        <f>('Witmielies White maize'!F35+'Geelmielies Yellow maize'!F35)</f>
        <v>65</v>
      </c>
      <c r="G35" s="195">
        <f>('Witmielies White maize'!G35+'Geelmielies Yellow maize'!G35)</f>
        <v>54</v>
      </c>
      <c r="H35" s="196">
        <f>('Witmielies White maize'!H35+'Geelmielies Yellow maize'!H35)</f>
        <v>118</v>
      </c>
      <c r="I35" s="195">
        <f>('Witmielies White maize'!I35+'Geelmielies Yellow maize'!I35)</f>
        <v>89</v>
      </c>
      <c r="J35" s="196">
        <f>('Witmielies White maize'!J35+'Geelmielies Yellow maize'!J35)</f>
        <v>100</v>
      </c>
      <c r="K35" s="195">
        <f>('Witmielies White maize'!K35+'Geelmielies Yellow maize'!K35)</f>
        <v>103</v>
      </c>
      <c r="L35" s="197">
        <f>('Witmielies White maize'!L35+'Geelmielies Yellow maize'!L35)</f>
        <v>49</v>
      </c>
      <c r="M35" s="197">
        <f>('Witmielies White maize'!M35+'Geelmielies Yellow maize'!M35)</f>
        <v>61</v>
      </c>
      <c r="N35" s="197">
        <f>('Witmielies White maize'!N35+'Geelmielies Yellow maize'!N35)</f>
        <v>104</v>
      </c>
      <c r="O35" s="280">
        <f>'Witmielies White maize'!O35+'Geelmielies Yellow maize'!O35</f>
        <v>119</v>
      </c>
      <c r="P35" s="103">
        <f>'Witmielies White maize'!P35+'Geelmielies Yellow maize'!P35</f>
        <v>126</v>
      </c>
      <c r="Q35" s="306">
        <f>'Witmielies White maize'!Q35+'Geelmielies Yellow maize'!Q35</f>
        <v>129</v>
      </c>
      <c r="R35" s="103">
        <f>'Witmielies White maize'!R35+'Geelmielies Yellow maize'!R35</f>
        <v>133</v>
      </c>
      <c r="S35" s="708">
        <f>'Witmielies White maize'!S35+'Geelmielies Yellow maize'!S35</f>
        <v>176.978</v>
      </c>
      <c r="T35" s="637">
        <f>'Witmielies White maize'!T35+'Geelmielies Yellow maize'!T35</f>
        <v>185</v>
      </c>
      <c r="U35" s="637">
        <f>'Witmielies White maize'!U35+'Geelmielies Yellow maize'!U35</f>
        <v>190</v>
      </c>
      <c r="V35" s="637">
        <v>135</v>
      </c>
      <c r="W35" s="651">
        <f>(U35-T35)/T35</f>
        <v>0.02702702702702703</v>
      </c>
      <c r="X35" s="651">
        <f>(U35-S35)/S35</f>
        <v>0.07357976697668632</v>
      </c>
    </row>
    <row r="36" spans="2:24" ht="12.75" customHeight="1">
      <c r="B36" s="31" t="s">
        <v>25</v>
      </c>
      <c r="C36" s="195">
        <f>('Witmielies White maize'!C36+'Geelmielies Yellow maize'!C36)</f>
        <v>0</v>
      </c>
      <c r="D36" s="196">
        <f>('Witmielies White maize'!D36+'Geelmielies Yellow maize'!D36)</f>
        <v>0</v>
      </c>
      <c r="E36" s="195">
        <f>('Witmielies White maize'!E36+'Geelmielies Yellow maize'!E36)</f>
        <v>533</v>
      </c>
      <c r="F36" s="196">
        <f>('Witmielies White maize'!F36+'Geelmielies Yellow maize'!F36)</f>
        <v>1423</v>
      </c>
      <c r="G36" s="195">
        <f>('Witmielies White maize'!G36+'Geelmielies Yellow maize'!G36)</f>
        <v>1281</v>
      </c>
      <c r="H36" s="196">
        <f>('Witmielies White maize'!H36+'Geelmielies Yellow maize'!H36)</f>
        <v>1070</v>
      </c>
      <c r="I36" s="195">
        <f>('Witmielies White maize'!I36+'Geelmielies Yellow maize'!I36)</f>
        <v>1096</v>
      </c>
      <c r="J36" s="196">
        <f>('Witmielies White maize'!J36+'Geelmielies Yellow maize'!J36)</f>
        <v>732</v>
      </c>
      <c r="K36" s="195">
        <f>('Witmielies White maize'!K36+'Geelmielies Yellow maize'!K36)</f>
        <v>2134</v>
      </c>
      <c r="L36" s="197">
        <f>('Witmielies White maize'!L36+'Geelmielies Yellow maize'!L36)</f>
        <v>548</v>
      </c>
      <c r="M36" s="197">
        <f>('Witmielies White maize'!M36+'Geelmielies Yellow maize'!M36)</f>
        <v>473</v>
      </c>
      <c r="N36" s="197">
        <f>('Witmielies White maize'!N36+'Geelmielies Yellow maize'!N36)</f>
        <v>2162</v>
      </c>
      <c r="O36" s="280">
        <f>'Witmielies White maize'!O36+'Geelmielies Yellow maize'!O36</f>
        <v>1670</v>
      </c>
      <c r="P36" s="103">
        <f>'Witmielies White maize'!P36+'Geelmielies Yellow maize'!P36</f>
        <v>2066</v>
      </c>
      <c r="Q36" s="306">
        <f>'Witmielies White maize'!Q36+'Geelmielies Yellow maize'!Q36</f>
        <v>2446</v>
      </c>
      <c r="R36" s="103">
        <f>'Witmielies White maize'!R36+'Geelmielies Yellow maize'!R36</f>
        <v>1813</v>
      </c>
      <c r="S36" s="708">
        <f>'Witmielies White maize'!S36+'Geelmielies Yellow maize'!S36</f>
        <v>2055.618</v>
      </c>
      <c r="T36" s="637">
        <f>'Witmielies White maize'!T36+'Geelmielies Yellow maize'!T36</f>
        <v>1850</v>
      </c>
      <c r="U36" s="637">
        <f>'Witmielies White maize'!U36+'Geelmielies Yellow maize'!U36</f>
        <v>1840</v>
      </c>
      <c r="V36" s="637">
        <v>1950</v>
      </c>
      <c r="W36" s="651">
        <f>(U36-T36)/T36</f>
        <v>-0.005405405405405406</v>
      </c>
      <c r="X36" s="651">
        <f>(U36-S36)/S36</f>
        <v>-0.10489205679265308</v>
      </c>
    </row>
    <row r="37" spans="2:24" ht="12.75" customHeight="1" thickBot="1">
      <c r="B37" s="41" t="s">
        <v>26</v>
      </c>
      <c r="C37" s="324">
        <f>('Witmielies White maize'!C37+'Geelmielies Yellow maize'!C37)</f>
        <v>1921</v>
      </c>
      <c r="D37" s="199">
        <f>('Witmielies White maize'!D37+'Geelmielies Yellow maize'!D37)</f>
        <v>1388</v>
      </c>
      <c r="E37" s="198">
        <f>('Witmielies White maize'!E37+'Geelmielies Yellow maize'!E37)</f>
        <v>652</v>
      </c>
      <c r="F37" s="199">
        <f>('Witmielies White maize'!F37+'Geelmielies Yellow maize'!F37)</f>
        <v>1488</v>
      </c>
      <c r="G37" s="198">
        <f>('Witmielies White maize'!G37+'Geelmielies Yellow maize'!G37)</f>
        <v>1335</v>
      </c>
      <c r="H37" s="199">
        <f>('Witmielies White maize'!H37+'Geelmielies Yellow maize'!H37)</f>
        <v>1188</v>
      </c>
      <c r="I37" s="198">
        <f>('Witmielies White maize'!I37+'Geelmielies Yellow maize'!I37)</f>
        <v>1185</v>
      </c>
      <c r="J37" s="199">
        <f>('Witmielies White maize'!J37+'Geelmielies Yellow maize'!J37)</f>
        <v>832</v>
      </c>
      <c r="K37" s="198">
        <f>('Witmielies White maize'!K37+'Geelmielies Yellow maize'!K37)</f>
        <v>2237</v>
      </c>
      <c r="L37" s="198">
        <f>('Witmielies White maize'!L37+'Geelmielies Yellow maize'!L37)</f>
        <v>597</v>
      </c>
      <c r="M37" s="200">
        <f>('Witmielies White maize'!M37+'Geelmielies Yellow maize'!M37)</f>
        <v>534</v>
      </c>
      <c r="N37" s="200">
        <f>('Witmielies White maize'!N37+'Geelmielies Yellow maize'!N37)</f>
        <v>2266</v>
      </c>
      <c r="O37" s="280">
        <f>'Witmielies White maize'!O37+'Geelmielies Yellow maize'!O37</f>
        <v>1789</v>
      </c>
      <c r="P37" s="293">
        <f>'Witmielies White maize'!P37+'Geelmielies Yellow maize'!P37</f>
        <v>2192</v>
      </c>
      <c r="Q37" s="306">
        <f>'Witmielies White maize'!Q37+'Geelmielies Yellow maize'!Q37</f>
        <v>2575</v>
      </c>
      <c r="R37" s="103">
        <f>'Witmielies White maize'!R37+'Geelmielies Yellow maize'!R37</f>
        <v>1946</v>
      </c>
      <c r="S37" s="708">
        <f>'Witmielies White maize'!S37+'Geelmielies Yellow maize'!S37</f>
        <v>2232.5959999999995</v>
      </c>
      <c r="T37" s="638">
        <f>'Witmielies White maize'!T37+'Geelmielies Yellow maize'!T37</f>
        <v>2035</v>
      </c>
      <c r="U37" s="638">
        <f>'Witmielies White maize'!U37+'Geelmielies Yellow maize'!U37</f>
        <v>2030</v>
      </c>
      <c r="V37" s="638">
        <f>V35+V36</f>
        <v>2085</v>
      </c>
      <c r="W37" s="651">
        <f>(U37-T37)/T37</f>
        <v>-0.002457002457002457</v>
      </c>
      <c r="X37" s="651">
        <f>(U37-S37)/S37</f>
        <v>-0.09074458612306015</v>
      </c>
    </row>
    <row r="38" spans="1:24" s="1" customFormat="1" ht="12.75" customHeight="1" thickBot="1">
      <c r="A38" s="61"/>
      <c r="B38" s="34" t="s">
        <v>18</v>
      </c>
      <c r="C38" s="113">
        <f>('Witmielies White maize'!C38+'Geelmielies Yellow maize'!C38)</f>
        <v>8417</v>
      </c>
      <c r="D38" s="115">
        <f>('Witmielies White maize'!D38+'Geelmielies Yellow maize'!D38)</f>
        <v>7827</v>
      </c>
      <c r="E38" s="113">
        <f>('Witmielies White maize'!E38+'Geelmielies Yellow maize'!E38)</f>
        <v>7511</v>
      </c>
      <c r="F38" s="115">
        <f>('Witmielies White maize'!F38+'Geelmielies Yellow maize'!F38)</f>
        <v>9277</v>
      </c>
      <c r="G38" s="113">
        <f>('Witmielies White maize'!G38+'Geelmielies Yellow maize'!G38)</f>
        <v>9244</v>
      </c>
      <c r="H38" s="114">
        <f>('Witmielies White maize'!H38+'Geelmielies Yellow maize'!H38)</f>
        <v>8727</v>
      </c>
      <c r="I38" s="113">
        <f>('Witmielies White maize'!I38+'Geelmielies Yellow maize'!I38)</f>
        <v>8936</v>
      </c>
      <c r="J38" s="115">
        <f>('Witmielies White maize'!J38+'Geelmielies Yellow maize'!J38)</f>
        <v>8788</v>
      </c>
      <c r="K38" s="113">
        <f>('Witmielies White maize'!K38+'Geelmielies Yellow maize'!K38)</f>
        <v>10395</v>
      </c>
      <c r="L38" s="113">
        <f>('Witmielies White maize'!L38+'Geelmielies Yellow maize'!L38)</f>
        <v>8735</v>
      </c>
      <c r="M38" s="201">
        <f>('Witmielies White maize'!M38+'Geelmielies Yellow maize'!M38)</f>
        <v>9023</v>
      </c>
      <c r="N38" s="201">
        <f>('Witmielies White maize'!N38+'Geelmielies Yellow maize'!N38)</f>
        <v>11394</v>
      </c>
      <c r="O38" s="282">
        <f aca="true" t="shared" si="7" ref="O38:T38">(O33+O37)</f>
        <v>11106</v>
      </c>
      <c r="P38" s="117">
        <f t="shared" si="7"/>
        <v>11811</v>
      </c>
      <c r="Q38" s="309">
        <f t="shared" si="7"/>
        <v>12103</v>
      </c>
      <c r="R38" s="117">
        <f t="shared" si="7"/>
        <v>11541</v>
      </c>
      <c r="S38" s="715">
        <f t="shared" si="7"/>
        <v>11900.042</v>
      </c>
      <c r="T38" s="639">
        <f t="shared" si="7"/>
        <v>12188</v>
      </c>
      <c r="U38" s="639">
        <f>(U33+U37)</f>
        <v>12200</v>
      </c>
      <c r="V38" s="639">
        <f>V37+V33</f>
        <v>12485</v>
      </c>
      <c r="W38" s="651">
        <f>(U38-T38)/T38</f>
        <v>0.0009845749917952085</v>
      </c>
      <c r="X38" s="651">
        <f>(U38-S38)/S38</f>
        <v>0.025206465657852346</v>
      </c>
    </row>
    <row r="39" spans="2:24" ht="12.75" customHeight="1" thickBot="1">
      <c r="B39" s="42"/>
      <c r="C39" s="204"/>
      <c r="D39" s="205"/>
      <c r="E39" s="204"/>
      <c r="F39" s="205"/>
      <c r="G39" s="204"/>
      <c r="H39" s="205"/>
      <c r="I39" s="204"/>
      <c r="J39" s="205"/>
      <c r="K39" s="204"/>
      <c r="L39" s="204"/>
      <c r="M39" s="206"/>
      <c r="N39" s="206"/>
      <c r="O39" s="286"/>
      <c r="P39" s="144"/>
      <c r="Q39" s="314"/>
      <c r="R39" s="144"/>
      <c r="S39" s="716"/>
      <c r="T39" s="644"/>
      <c r="U39" s="644"/>
      <c r="V39" s="644"/>
      <c r="W39" s="651"/>
      <c r="X39" s="651"/>
    </row>
    <row r="40" spans="1:24" s="1" customFormat="1" ht="12.75" customHeight="1" thickBot="1">
      <c r="A40" s="61"/>
      <c r="B40" s="34" t="s">
        <v>19</v>
      </c>
      <c r="C40" s="113">
        <f>('Witmielies White maize'!C40+'Geelmielies Yellow maize'!C40)</f>
        <v>2609</v>
      </c>
      <c r="D40" s="115">
        <f>('Witmielies White maize'!D40+'Geelmielies Yellow maize'!D40)</f>
        <v>1074</v>
      </c>
      <c r="E40" s="113">
        <f>('Witmielies White maize'!E40+'Geelmielies Yellow maize'!E40)</f>
        <v>975</v>
      </c>
      <c r="F40" s="115">
        <f>('Witmielies White maize'!F40+'Geelmielies Yellow maize'!F40)</f>
        <v>2115</v>
      </c>
      <c r="G40" s="113">
        <f>('Witmielies White maize'!G40+'Geelmielies Yellow maize'!G40)</f>
        <v>1202</v>
      </c>
      <c r="H40" s="114">
        <f>('Witmielies White maize'!H40+'Geelmielies Yellow maize'!H40)</f>
        <v>2710</v>
      </c>
      <c r="I40" s="113">
        <f>('Witmielies White maize'!I40+'Geelmielies Yellow maize'!I40)</f>
        <v>2624</v>
      </c>
      <c r="J40" s="115">
        <f>('Witmielies White maize'!J40+'Geelmielies Yellow maize'!J40)</f>
        <v>3148</v>
      </c>
      <c r="K40" s="113">
        <f>('Witmielies White maize'!K40+'Geelmielies Yellow maize'!K40)</f>
        <v>3168</v>
      </c>
      <c r="L40" s="113">
        <f>('Witmielies White maize'!L40+'Geelmielies Yellow maize'!L40)</f>
        <v>2070</v>
      </c>
      <c r="M40" s="201">
        <f>('Witmielies White maize'!M40+'Geelmielies Yellow maize'!M40)</f>
        <v>1049</v>
      </c>
      <c r="N40" s="201">
        <f>('Witmielies White maize'!N40+'Geelmielies Yellow maize'!N40)</f>
        <v>1581</v>
      </c>
      <c r="O40" s="287">
        <f>('Witmielies White maize'!O40+'Geelmielies Yellow maize'!O40)</f>
        <v>2131</v>
      </c>
      <c r="P40" s="117">
        <f>'Witmielies White maize'!P40+'Geelmielies Yellow maize'!P40</f>
        <v>2336</v>
      </c>
      <c r="Q40" s="309">
        <f>'Witmielies White maize'!Q40+'Geelmielies Yellow maize'!Q40</f>
        <v>994</v>
      </c>
      <c r="R40" s="117">
        <f>'Witmielies White maize'!R40+'Geelmielies Yellow maize'!R40</f>
        <v>1416.656</v>
      </c>
      <c r="S40" s="717">
        <f>'Witmielies White maize'!S40+'Geelmielies Yellow maize'!S40</f>
        <v>589.0279999999993</v>
      </c>
      <c r="T40" s="639">
        <f>'Witmielies White maize'!T40+'Geelmielies Yellow maize'!T40</f>
        <v>2129.111</v>
      </c>
      <c r="U40" s="639">
        <f>'Witmielies White maize'!U40+'Geelmielies Yellow maize'!U40</f>
        <v>2117.111</v>
      </c>
      <c r="V40" s="639">
        <f>V20-V38</f>
        <v>1832.1110000000008</v>
      </c>
      <c r="W40" s="651">
        <f>(U40-T40)/T40</f>
        <v>-0.005636155184018119</v>
      </c>
      <c r="X40" s="651">
        <f>(U40-S40)/S40</f>
        <v>2.5942450953095646</v>
      </c>
    </row>
    <row r="41" spans="2:24" ht="12.75" customHeight="1">
      <c r="B41" s="223"/>
      <c r="C41" s="224"/>
      <c r="D41" s="225"/>
      <c r="E41" s="224"/>
      <c r="F41" s="225"/>
      <c r="G41" s="224"/>
      <c r="H41" s="225"/>
      <c r="I41" s="224"/>
      <c r="J41" s="225"/>
      <c r="K41" s="224"/>
      <c r="L41" s="224"/>
      <c r="M41" s="226"/>
      <c r="N41" s="226"/>
      <c r="O41" s="288"/>
      <c r="P41" s="145"/>
      <c r="Q41" s="318"/>
      <c r="R41" s="124"/>
      <c r="S41" s="718"/>
      <c r="T41" s="645"/>
      <c r="U41" s="645"/>
      <c r="V41" s="645"/>
      <c r="W41" s="651"/>
      <c r="X41" s="651"/>
    </row>
    <row r="42" spans="2:24" ht="12.75" customHeight="1">
      <c r="B42" s="31" t="s">
        <v>20</v>
      </c>
      <c r="C42" s="195">
        <f>('Witmielies White maize'!C42+'Geelmielies Yellow maize'!C42)</f>
        <v>797.875</v>
      </c>
      <c r="D42" s="196">
        <f>('Witmielies White maize'!D42+'Geelmielies Yellow maize'!D42)</f>
        <v>792.625</v>
      </c>
      <c r="E42" s="195">
        <f>('Witmielies White maize'!E42+'Geelmielies Yellow maize'!E42)</f>
        <v>795.25</v>
      </c>
      <c r="F42" s="196">
        <f>('Witmielies White maize'!F42+'Geelmielies Yellow maize'!F42)</f>
        <v>832.125</v>
      </c>
      <c r="G42" s="195">
        <f>('Witmielies White maize'!G42+'Geelmielies Yellow maize'!G42)</f>
        <v>877.875</v>
      </c>
      <c r="H42" s="196">
        <f>('Witmielies White maize'!H42+'Geelmielies Yellow maize'!H42)</f>
        <v>857.875</v>
      </c>
      <c r="I42" s="195">
        <f>('Witmielies White maize'!I42+'Geelmielies Yellow maize'!I42)</f>
        <v>891</v>
      </c>
      <c r="J42" s="196">
        <f>('Witmielies White maize'!J42+'Geelmielies Yellow maize'!J42)</f>
        <v>946.375</v>
      </c>
      <c r="K42" s="195">
        <f>('Witmielies White maize'!K42+'Geelmielies Yellow maize'!K42)</f>
        <v>920.25</v>
      </c>
      <c r="L42" s="195">
        <f>('Witmielies White maize'!L42+'Geelmielies Yellow maize'!L42)</f>
        <v>947.375</v>
      </c>
      <c r="M42" s="197">
        <f>('Witmielies White maize'!M42+'Geelmielies Yellow maize'!M42)</f>
        <v>995.75</v>
      </c>
      <c r="N42" s="197">
        <f>('Witmielies White maize'!N42+'Geelmielies Yellow maize'!N42)</f>
        <v>1081.75</v>
      </c>
      <c r="O42" s="280">
        <f>'Witmielies White maize'!O42+'Geelmielies Yellow maize'!O42</f>
        <v>1071.5</v>
      </c>
      <c r="P42" s="103">
        <f>'Witmielies White maize'!P42+'Geelmielies Yellow maize'!P42</f>
        <v>1098</v>
      </c>
      <c r="Q42" s="306">
        <f>'Witmielies White maize'!Q42+'Geelmielies Yellow maize'!Q42</f>
        <v>1109.25</v>
      </c>
      <c r="R42" s="103">
        <f>'Witmielies White maize'!R42+'Geelmielies Yellow maize'!R42</f>
        <v>1109.625</v>
      </c>
      <c r="S42" s="708">
        <f>'Witmielies White maize'!S42+'Geelmielies Yellow maize'!S42</f>
        <v>1162.200625</v>
      </c>
      <c r="T42" s="637">
        <f>'Witmielies White maize'!T42+'Geelmielies Yellow maize'!T42</f>
        <v>1200.75</v>
      </c>
      <c r="U42" s="637">
        <f>'Witmielies White maize'!U42+'Geelmielies Yellow maize'!U42</f>
        <v>1200.75</v>
      </c>
      <c r="V42" s="637">
        <f>V26/12*1.5</f>
        <v>1191.375</v>
      </c>
      <c r="W42" s="651">
        <f>(U42-T42)/T42</f>
        <v>0</v>
      </c>
      <c r="X42" s="651">
        <f>(U42-S42)/S42</f>
        <v>0.033169294673198145</v>
      </c>
    </row>
    <row r="43" spans="2:24" ht="12.75" customHeight="1">
      <c r="B43" s="40"/>
      <c r="C43" s="207"/>
      <c r="D43" s="208"/>
      <c r="E43" s="207"/>
      <c r="F43" s="208"/>
      <c r="G43" s="207"/>
      <c r="H43" s="208"/>
      <c r="I43" s="207"/>
      <c r="J43" s="208"/>
      <c r="K43" s="207"/>
      <c r="L43" s="207"/>
      <c r="M43" s="209"/>
      <c r="N43" s="209"/>
      <c r="O43" s="289"/>
      <c r="P43" s="146"/>
      <c r="Q43" s="316"/>
      <c r="R43" s="146"/>
      <c r="S43" s="719"/>
      <c r="T43" s="646"/>
      <c r="U43" s="646"/>
      <c r="V43" s="646"/>
      <c r="W43" s="651"/>
      <c r="X43" s="651"/>
    </row>
    <row r="44" spans="1:24" s="1" customFormat="1" ht="12.75" customHeight="1" thickBot="1">
      <c r="A44" s="61"/>
      <c r="B44" s="80" t="s">
        <v>62</v>
      </c>
      <c r="C44" s="184">
        <f>('Witmielies White maize'!C44+'Geelmielies Yellow maize'!C44)</f>
        <v>1811.125</v>
      </c>
      <c r="D44" s="227">
        <f>('Witmielies White maize'!D44+'Geelmielies Yellow maize'!D44)</f>
        <v>281.375</v>
      </c>
      <c r="E44" s="184">
        <f>('Witmielies White maize'!E44+'Geelmielies Yellow maize'!E44)</f>
        <v>179.75</v>
      </c>
      <c r="F44" s="227">
        <f>('Witmielies White maize'!F44+'Geelmielies Yellow maize'!F44)</f>
        <v>1282.875</v>
      </c>
      <c r="G44" s="184">
        <f>('Witmielies White maize'!G44+'Geelmielies Yellow maize'!G44)</f>
        <v>324.125</v>
      </c>
      <c r="H44" s="227">
        <f>('Witmielies White maize'!H44+'Geelmielies Yellow maize'!H44)</f>
        <v>1852.125</v>
      </c>
      <c r="I44" s="184">
        <f>('Witmielies White maize'!I44+'Geelmielies Yellow maize'!I44)</f>
        <v>1733</v>
      </c>
      <c r="J44" s="227">
        <f>('Witmielies White maize'!J44+'Geelmielies Yellow maize'!J44)</f>
        <v>2201.625</v>
      </c>
      <c r="K44" s="184">
        <f>('Witmielies White maize'!K44+'Geelmielies Yellow maize'!K44)</f>
        <v>2247.75</v>
      </c>
      <c r="L44" s="184">
        <f>('Witmielies White maize'!L44+'Geelmielies Yellow maize'!L44)</f>
        <v>1122.625</v>
      </c>
      <c r="M44" s="210">
        <f>('Witmielies White maize'!M44+'Geelmielies Yellow maize'!M44)</f>
        <v>53.25</v>
      </c>
      <c r="N44" s="210">
        <f>('Witmielies White maize'!N44+'Geelmielies Yellow maize'!N44)</f>
        <v>499.25</v>
      </c>
      <c r="O44" s="290">
        <f aca="true" t="shared" si="8" ref="O44:T44">+O40-O42</f>
        <v>1059.5</v>
      </c>
      <c r="P44" s="150">
        <f t="shared" si="8"/>
        <v>1238</v>
      </c>
      <c r="Q44" s="317">
        <f t="shared" si="8"/>
        <v>-115.25</v>
      </c>
      <c r="R44" s="150">
        <f t="shared" si="8"/>
        <v>307.03099999999995</v>
      </c>
      <c r="S44" s="720">
        <f t="shared" si="8"/>
        <v>-573.1726250000006</v>
      </c>
      <c r="T44" s="647">
        <f t="shared" si="8"/>
        <v>928.3609999999999</v>
      </c>
      <c r="U44" s="647">
        <f>+U40-U42</f>
        <v>916.3609999999999</v>
      </c>
      <c r="V44" s="647">
        <f>V40-V42</f>
        <v>640.7360000000008</v>
      </c>
      <c r="W44" s="651">
        <f>(U44-T44)/T44</f>
        <v>-0.012926006154933266</v>
      </c>
      <c r="X44" s="651">
        <f>(U44-S44)/S44</f>
        <v>-2.598752208377012</v>
      </c>
    </row>
    <row r="45" spans="2:24" ht="12.75" customHeight="1" thickBot="1">
      <c r="B45" s="38"/>
      <c r="C45" s="16"/>
      <c r="D45" s="16"/>
      <c r="E45" s="16"/>
      <c r="F45" s="16"/>
      <c r="G45" s="20"/>
      <c r="H45" s="20"/>
      <c r="I45" s="15"/>
      <c r="J45" s="15"/>
      <c r="K45" s="16"/>
      <c r="L45" s="16"/>
      <c r="M45" s="16"/>
      <c r="N45" s="16"/>
      <c r="O45" s="222"/>
      <c r="P45" s="222"/>
      <c r="Q45" s="222"/>
      <c r="R45" s="526"/>
      <c r="S45" s="721"/>
      <c r="T45" s="526"/>
      <c r="U45" s="526"/>
      <c r="V45" s="526"/>
      <c r="W45" s="517"/>
      <c r="X45" s="517"/>
    </row>
    <row r="46" spans="1:24" s="7" customFormat="1" ht="25.5">
      <c r="A46" s="59"/>
      <c r="B46" s="510" t="s">
        <v>82</v>
      </c>
      <c r="C46" s="511">
        <f>C40/C33</f>
        <v>0.4016317733990148</v>
      </c>
      <c r="D46" s="511">
        <f aca="true" t="shared" si="9" ref="D46:K46">D40/D33</f>
        <v>0.16679608634881193</v>
      </c>
      <c r="E46" s="511">
        <f t="shared" si="9"/>
        <v>0.14214900131214464</v>
      </c>
      <c r="F46" s="511">
        <f t="shared" si="9"/>
        <v>0.2715367826421877</v>
      </c>
      <c r="G46" s="511">
        <f t="shared" si="9"/>
        <v>0.15197875837653307</v>
      </c>
      <c r="H46" s="511">
        <f t="shared" si="9"/>
        <v>0.35946411990980237</v>
      </c>
      <c r="I46" s="511">
        <f t="shared" si="9"/>
        <v>0.3385369629725197</v>
      </c>
      <c r="J46" s="511">
        <f t="shared" si="9"/>
        <v>0.39567621920563095</v>
      </c>
      <c r="K46" s="511">
        <f t="shared" si="9"/>
        <v>0.3883304731551851</v>
      </c>
      <c r="L46" s="511">
        <f aca="true" t="shared" si="10" ref="L46:Q46">L40/L33</f>
        <v>0.254362251167363</v>
      </c>
      <c r="M46" s="511">
        <f t="shared" si="10"/>
        <v>0.12357168099893981</v>
      </c>
      <c r="N46" s="511">
        <f t="shared" si="10"/>
        <v>0.17320333041191938</v>
      </c>
      <c r="O46" s="527">
        <f t="shared" si="10"/>
        <v>0.2287216915316089</v>
      </c>
      <c r="P46" s="512">
        <f t="shared" si="10"/>
        <v>0.24285268738954152</v>
      </c>
      <c r="Q46" s="722">
        <f t="shared" si="10"/>
        <v>0.10432409739714525</v>
      </c>
      <c r="R46" s="760">
        <f>R40/R33</f>
        <v>0.14764523189161022</v>
      </c>
      <c r="S46" s="722">
        <f>S40/S33</f>
        <v>0.060929018894959365</v>
      </c>
      <c r="T46" s="648">
        <f>T40/T33</f>
        <v>0.20970264946321282</v>
      </c>
      <c r="U46" s="648">
        <f>U40/U33</f>
        <v>0.20817217305801375</v>
      </c>
      <c r="V46" s="648">
        <f>V40/V33</f>
        <v>0.1761645192307693</v>
      </c>
      <c r="W46" s="653">
        <f>(U46-T46)/T46</f>
        <v>-0.0072983169698461825</v>
      </c>
      <c r="X46" s="653">
        <f>(U46-S46)/S46</f>
        <v>2.4166342546381583</v>
      </c>
    </row>
    <row r="47" spans="2:24" ht="26.25" thickBot="1">
      <c r="B47" s="498" t="s">
        <v>74</v>
      </c>
      <c r="C47" s="514">
        <f aca="true" t="shared" si="11" ref="C47:K47">C40/C38</f>
        <v>0.3099679220624926</v>
      </c>
      <c r="D47" s="514">
        <f t="shared" si="11"/>
        <v>0.13721732464545802</v>
      </c>
      <c r="E47" s="514">
        <f t="shared" si="11"/>
        <v>0.12980961256823326</v>
      </c>
      <c r="F47" s="514">
        <f t="shared" si="11"/>
        <v>0.22798318421903632</v>
      </c>
      <c r="G47" s="514">
        <f t="shared" si="11"/>
        <v>0.1300302899177845</v>
      </c>
      <c r="H47" s="514">
        <f t="shared" si="11"/>
        <v>0.3105305374126275</v>
      </c>
      <c r="I47" s="514">
        <f t="shared" si="11"/>
        <v>0.2936436884512086</v>
      </c>
      <c r="J47" s="514">
        <f t="shared" si="11"/>
        <v>0.35821574874829315</v>
      </c>
      <c r="K47" s="514">
        <f t="shared" si="11"/>
        <v>0.3047619047619048</v>
      </c>
      <c r="L47" s="514">
        <f aca="true" t="shared" si="12" ref="L47:Q47">L40/L38</f>
        <v>0.23697767601602748</v>
      </c>
      <c r="M47" s="514">
        <f t="shared" si="12"/>
        <v>0.11625845062617754</v>
      </c>
      <c r="N47" s="514">
        <f t="shared" si="12"/>
        <v>0.13875724065297526</v>
      </c>
      <c r="O47" s="528">
        <f t="shared" si="12"/>
        <v>0.19187826400144067</v>
      </c>
      <c r="P47" s="515">
        <f t="shared" si="12"/>
        <v>0.19778172889679113</v>
      </c>
      <c r="Q47" s="723">
        <f t="shared" si="12"/>
        <v>0.0821283979178716</v>
      </c>
      <c r="R47" s="761">
        <f>R40/R38</f>
        <v>0.12274984836669266</v>
      </c>
      <c r="S47" s="723">
        <f>S40/S38</f>
        <v>0.04949797656176334</v>
      </c>
      <c r="T47" s="649">
        <f>T40/T38</f>
        <v>0.17468912044634066</v>
      </c>
      <c r="U47" s="649">
        <f>U40/U38</f>
        <v>0.17353368852459014</v>
      </c>
      <c r="V47" s="649">
        <f>V40/V38</f>
        <v>0.14674497396876257</v>
      </c>
      <c r="W47" s="652">
        <f>(U47-T47)/T47</f>
        <v>-0.0066142179821979015</v>
      </c>
      <c r="X47" s="652">
        <f>(U47-S47)/S47</f>
        <v>2.5058743928260507</v>
      </c>
    </row>
    <row r="48" spans="2:24" ht="12.75">
      <c r="B48" s="536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1"/>
      <c r="P48" s="531"/>
      <c r="Q48" s="532"/>
      <c r="R48" s="531"/>
      <c r="S48" s="531"/>
      <c r="T48" s="519"/>
      <c r="U48" s="519"/>
      <c r="V48" s="519"/>
      <c r="W48" s="519"/>
      <c r="X48" s="521"/>
    </row>
    <row r="49" spans="2:24" ht="12.75">
      <c r="B49" s="51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19"/>
      <c r="P49" s="519"/>
      <c r="Q49" s="520"/>
      <c r="R49" s="519"/>
      <c r="S49" s="519"/>
      <c r="T49" s="519"/>
      <c r="U49" s="519"/>
      <c r="V49" s="519"/>
      <c r="W49" s="519"/>
      <c r="X49" s="521"/>
    </row>
    <row r="50" spans="2:24" ht="12.75">
      <c r="B50" s="51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19"/>
      <c r="P50" s="519"/>
      <c r="Q50" s="520"/>
      <c r="R50" s="519"/>
      <c r="S50" s="519"/>
      <c r="T50" s="519"/>
      <c r="U50" s="519"/>
      <c r="V50" s="519"/>
      <c r="W50" s="519"/>
      <c r="X50" s="521"/>
    </row>
    <row r="51" spans="2:14" ht="12.75" customHeight="1">
      <c r="B51" s="58" t="s">
        <v>110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ht="12.75" customHeight="1">
      <c r="B52" s="58" t="s">
        <v>109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ht="12.75" customHeight="1">
      <c r="B53" s="5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6" ht="12.75" customHeight="1">
      <c r="B54" s="1" t="s">
        <v>27</v>
      </c>
      <c r="E54" s="16"/>
      <c r="G54" s="14"/>
      <c r="H54" s="14"/>
      <c r="P54" s="12"/>
    </row>
    <row r="55" spans="5:8" ht="12.75" customHeight="1">
      <c r="E55" s="20"/>
      <c r="G55" s="14"/>
      <c r="H55" s="14"/>
    </row>
    <row r="56" spans="2:24" s="7" customFormat="1" ht="12.75" customHeight="1">
      <c r="B56" s="427"/>
      <c r="C56" s="422"/>
      <c r="D56" s="422"/>
      <c r="E56" s="430"/>
      <c r="F56" s="422"/>
      <c r="G56" s="431"/>
      <c r="H56" s="431"/>
      <c r="I56" s="428"/>
      <c r="J56" s="428"/>
      <c r="K56" s="422"/>
      <c r="L56" s="422"/>
      <c r="M56" s="422"/>
      <c r="N56" s="422"/>
      <c r="O56" s="422"/>
      <c r="P56" s="432"/>
      <c r="Q56" s="422"/>
      <c r="R56" s="422"/>
      <c r="S56" s="13"/>
      <c r="T56" s="13"/>
      <c r="U56" s="13"/>
      <c r="V56" s="13"/>
      <c r="W56" s="13"/>
      <c r="X56" s="13"/>
    </row>
    <row r="57" spans="1:24" s="7" customFormat="1" ht="12.75" customHeight="1">
      <c r="A57" s="59"/>
      <c r="B57" s="427"/>
      <c r="C57" s="422"/>
      <c r="D57" s="422"/>
      <c r="E57" s="422"/>
      <c r="F57" s="422"/>
      <c r="G57" s="431"/>
      <c r="H57" s="431"/>
      <c r="I57" s="428"/>
      <c r="J57" s="428"/>
      <c r="K57" s="422"/>
      <c r="L57" s="422"/>
      <c r="M57" s="422"/>
      <c r="N57" s="422"/>
      <c r="O57" s="422"/>
      <c r="P57" s="432"/>
      <c r="Q57" s="422"/>
      <c r="R57" s="422"/>
      <c r="S57" s="13"/>
      <c r="T57" s="13"/>
      <c r="U57" s="13"/>
      <c r="V57" s="13"/>
      <c r="W57" s="13"/>
      <c r="X57" s="13"/>
    </row>
    <row r="58" spans="1:24" s="7" customFormat="1" ht="12.75" customHeight="1">
      <c r="A58" s="59">
        <v>1</v>
      </c>
      <c r="B58" s="427" t="s">
        <v>158</v>
      </c>
      <c r="C58" s="422"/>
      <c r="D58" s="422"/>
      <c r="E58" s="422"/>
      <c r="F58" s="422"/>
      <c r="G58" s="431"/>
      <c r="H58" s="431"/>
      <c r="I58" s="428"/>
      <c r="J58" s="428"/>
      <c r="K58" s="422"/>
      <c r="L58" s="422"/>
      <c r="M58" s="422"/>
      <c r="N58" s="422"/>
      <c r="O58" s="422"/>
      <c r="P58" s="432"/>
      <c r="Q58" s="422"/>
      <c r="R58" s="422"/>
      <c r="S58" s="13"/>
      <c r="T58" s="13"/>
      <c r="U58" s="13"/>
      <c r="V58" s="13"/>
      <c r="W58" s="13"/>
      <c r="X58" s="13"/>
    </row>
    <row r="59" spans="1:24" s="7" customFormat="1" ht="12.75" customHeight="1">
      <c r="A59" s="59"/>
      <c r="B59" s="427"/>
      <c r="C59" s="422"/>
      <c r="D59" s="422"/>
      <c r="E59" s="422"/>
      <c r="F59" s="422"/>
      <c r="G59" s="431"/>
      <c r="H59" s="431"/>
      <c r="I59" s="428"/>
      <c r="J59" s="428"/>
      <c r="K59" s="422"/>
      <c r="L59" s="422"/>
      <c r="M59" s="422"/>
      <c r="N59" s="422"/>
      <c r="O59" s="422"/>
      <c r="P59" s="432"/>
      <c r="Q59" s="422"/>
      <c r="R59" s="422"/>
      <c r="S59" s="13"/>
      <c r="T59" s="13"/>
      <c r="U59" s="13"/>
      <c r="V59" s="13"/>
      <c r="W59" s="13"/>
      <c r="X59" s="13"/>
    </row>
    <row r="60" spans="1:24" s="7" customFormat="1" ht="12.75" customHeight="1">
      <c r="A60" s="59"/>
      <c r="B60" s="421"/>
      <c r="C60" s="422"/>
      <c r="D60" s="422"/>
      <c r="E60" s="422"/>
      <c r="F60" s="422"/>
      <c r="G60" s="431"/>
      <c r="H60" s="431"/>
      <c r="I60" s="428"/>
      <c r="J60" s="428"/>
      <c r="K60" s="422"/>
      <c r="L60" s="422"/>
      <c r="M60" s="422"/>
      <c r="N60" s="422"/>
      <c r="O60" s="422"/>
      <c r="P60" s="432"/>
      <c r="Q60" s="422"/>
      <c r="R60" s="422"/>
      <c r="S60" s="13"/>
      <c r="T60" s="13"/>
      <c r="U60" s="13"/>
      <c r="V60" s="13"/>
      <c r="W60" s="13"/>
      <c r="X60" s="13"/>
    </row>
    <row r="61" spans="2:24" s="7" customFormat="1" ht="0.75" customHeight="1">
      <c r="B61" s="421"/>
      <c r="C61" s="422"/>
      <c r="D61" s="422"/>
      <c r="E61" s="422"/>
      <c r="F61" s="422"/>
      <c r="G61" s="428"/>
      <c r="H61" s="428"/>
      <c r="I61" s="428"/>
      <c r="J61" s="428"/>
      <c r="K61" s="422"/>
      <c r="L61" s="422"/>
      <c r="M61" s="422"/>
      <c r="N61" s="422"/>
      <c r="O61" s="422"/>
      <c r="P61" s="432"/>
      <c r="Q61" s="422"/>
      <c r="R61" s="422"/>
      <c r="S61" s="13"/>
      <c r="T61" s="13"/>
      <c r="U61" s="13"/>
      <c r="V61" s="13"/>
      <c r="W61" s="13"/>
      <c r="X61" s="13"/>
    </row>
    <row r="62" spans="1:24" s="7" customFormat="1" ht="12.75">
      <c r="A62" s="59">
        <v>2</v>
      </c>
      <c r="B62" s="421" t="s">
        <v>148</v>
      </c>
      <c r="C62" s="422"/>
      <c r="D62" s="422"/>
      <c r="E62" s="422"/>
      <c r="F62" s="422"/>
      <c r="G62" s="428"/>
      <c r="H62" s="428"/>
      <c r="I62" s="428"/>
      <c r="J62" s="428"/>
      <c r="K62" s="422"/>
      <c r="L62" s="422"/>
      <c r="M62" s="422"/>
      <c r="N62" s="422"/>
      <c r="O62" s="422"/>
      <c r="P62" s="432"/>
      <c r="Q62" s="422"/>
      <c r="R62" s="422"/>
      <c r="S62" s="13"/>
      <c r="T62" s="13"/>
      <c r="U62" s="13"/>
      <c r="V62" s="13"/>
      <c r="W62" s="13"/>
      <c r="X62" s="13"/>
    </row>
    <row r="63" spans="1:24" s="7" customFormat="1" ht="10.5" customHeight="1">
      <c r="A63" s="59"/>
      <c r="B63" s="421"/>
      <c r="C63" s="422"/>
      <c r="D63" s="422"/>
      <c r="E63" s="422"/>
      <c r="F63" s="422"/>
      <c r="G63" s="428"/>
      <c r="H63" s="428"/>
      <c r="I63" s="428"/>
      <c r="J63" s="428"/>
      <c r="K63" s="422"/>
      <c r="L63" s="422"/>
      <c r="M63" s="422"/>
      <c r="N63" s="422"/>
      <c r="O63" s="422"/>
      <c r="P63" s="432"/>
      <c r="Q63" s="422"/>
      <c r="R63" s="422"/>
      <c r="S63" s="13"/>
      <c r="T63" s="13"/>
      <c r="U63" s="13"/>
      <c r="V63" s="13"/>
      <c r="W63" s="13"/>
      <c r="X63" s="13"/>
    </row>
    <row r="64" spans="2:18" s="7" customFormat="1" ht="12.75">
      <c r="B64" s="422"/>
      <c r="C64" s="422"/>
      <c r="D64" s="422"/>
      <c r="E64" s="422"/>
      <c r="F64" s="422"/>
      <c r="G64" s="423"/>
      <c r="H64" s="423"/>
      <c r="I64" s="424"/>
      <c r="J64" s="424"/>
      <c r="K64" s="425"/>
      <c r="L64" s="421"/>
      <c r="M64" s="421"/>
      <c r="N64" s="421"/>
      <c r="O64" s="421"/>
      <c r="P64" s="433"/>
      <c r="Q64" s="421"/>
      <c r="R64" s="421"/>
    </row>
    <row r="65" spans="1:18" s="7" customFormat="1" ht="12.75">
      <c r="A65" s="59">
        <v>3</v>
      </c>
      <c r="B65" s="422" t="s">
        <v>149</v>
      </c>
      <c r="C65" s="422"/>
      <c r="D65" s="422"/>
      <c r="E65" s="422"/>
      <c r="F65" s="422"/>
      <c r="G65" s="423"/>
      <c r="H65" s="423"/>
      <c r="I65" s="424"/>
      <c r="J65" s="424"/>
      <c r="K65" s="425"/>
      <c r="L65" s="421"/>
      <c r="M65" s="421"/>
      <c r="N65" s="421"/>
      <c r="O65" s="421"/>
      <c r="P65" s="433"/>
      <c r="Q65" s="421"/>
      <c r="R65" s="421"/>
    </row>
    <row r="66" spans="1:24" s="7" customFormat="1" ht="12" customHeight="1">
      <c r="A66" s="59"/>
      <c r="B66" s="421"/>
      <c r="C66" s="422"/>
      <c r="D66" s="422"/>
      <c r="E66" s="422"/>
      <c r="F66" s="422"/>
      <c r="G66" s="428"/>
      <c r="H66" s="428"/>
      <c r="I66" s="428"/>
      <c r="J66" s="428"/>
      <c r="K66" s="422"/>
      <c r="L66" s="422"/>
      <c r="M66" s="422"/>
      <c r="N66" s="422"/>
      <c r="O66" s="422"/>
      <c r="P66" s="432"/>
      <c r="Q66" s="422"/>
      <c r="R66" s="422"/>
      <c r="S66" s="13"/>
      <c r="T66" s="13"/>
      <c r="U66" s="13"/>
      <c r="V66" s="13"/>
      <c r="W66" s="13"/>
      <c r="X66" s="13"/>
    </row>
    <row r="67" spans="2:24" s="7" customFormat="1" ht="12.75" customHeight="1">
      <c r="B67" s="421"/>
      <c r="C67" s="422"/>
      <c r="D67" s="422"/>
      <c r="E67" s="422"/>
      <c r="F67" s="422"/>
      <c r="G67" s="431"/>
      <c r="H67" s="431"/>
      <c r="I67" s="428"/>
      <c r="J67" s="428"/>
      <c r="K67" s="422"/>
      <c r="L67" s="422"/>
      <c r="M67" s="422"/>
      <c r="N67" s="422"/>
      <c r="O67" s="422"/>
      <c r="P67" s="432"/>
      <c r="Q67" s="422"/>
      <c r="R67" s="422"/>
      <c r="S67" s="13"/>
      <c r="T67" s="13"/>
      <c r="U67" s="13"/>
      <c r="V67" s="13"/>
      <c r="W67" s="13"/>
      <c r="X67" s="13"/>
    </row>
    <row r="68" spans="1:24" s="7" customFormat="1" ht="14.25" customHeight="1">
      <c r="A68" s="59">
        <v>4</v>
      </c>
      <c r="B68" s="421" t="s">
        <v>71</v>
      </c>
      <c r="C68" s="422"/>
      <c r="D68" s="422"/>
      <c r="E68" s="422"/>
      <c r="F68" s="422"/>
      <c r="G68" s="428"/>
      <c r="H68" s="428"/>
      <c r="I68" s="428"/>
      <c r="J68" s="428"/>
      <c r="K68" s="422"/>
      <c r="L68" s="422"/>
      <c r="M68" s="422"/>
      <c r="N68" s="422"/>
      <c r="O68" s="422"/>
      <c r="P68" s="432"/>
      <c r="Q68" s="422"/>
      <c r="R68" s="422"/>
      <c r="S68" s="13"/>
      <c r="T68" s="13"/>
      <c r="U68" s="13"/>
      <c r="V68" s="13"/>
      <c r="W68" s="13"/>
      <c r="X68" s="13"/>
    </row>
    <row r="69" spans="1:24" s="7" customFormat="1" ht="14.25" customHeight="1">
      <c r="A69" s="59"/>
      <c r="C69" s="13"/>
      <c r="D69" s="13"/>
      <c r="E69" s="13"/>
      <c r="F69" s="13"/>
      <c r="G69" s="4"/>
      <c r="H69" s="4"/>
      <c r="I69" s="4"/>
      <c r="J69" s="4"/>
      <c r="K69" s="13"/>
      <c r="L69" s="13"/>
      <c r="M69" s="13"/>
      <c r="N69" s="13"/>
      <c r="O69" s="13"/>
      <c r="P69" s="271"/>
      <c r="Q69" s="13"/>
      <c r="R69" s="13"/>
      <c r="S69" s="13"/>
      <c r="T69" s="13"/>
      <c r="U69" s="13"/>
      <c r="V69" s="13"/>
      <c r="W69" s="13"/>
      <c r="X69" s="13"/>
    </row>
    <row r="70" spans="1:24" s="7" customFormat="1" ht="12.75">
      <c r="A70" s="59">
        <v>5</v>
      </c>
      <c r="B70" s="421" t="s">
        <v>106</v>
      </c>
      <c r="C70" s="13"/>
      <c r="D70" s="13"/>
      <c r="E70" s="13"/>
      <c r="F70" s="13"/>
      <c r="G70" s="4"/>
      <c r="H70" s="4"/>
      <c r="I70" s="4"/>
      <c r="J70" s="4"/>
      <c r="K70" s="13"/>
      <c r="L70" s="13"/>
      <c r="M70" s="13"/>
      <c r="N70" s="13"/>
      <c r="O70" s="13"/>
      <c r="P70" s="271"/>
      <c r="Q70" s="13"/>
      <c r="R70" s="13"/>
      <c r="S70" s="13"/>
      <c r="T70" s="13"/>
      <c r="U70" s="13"/>
      <c r="V70" s="13"/>
      <c r="W70" s="13"/>
      <c r="X70" s="13"/>
    </row>
    <row r="71" spans="1:24" s="7" customFormat="1" ht="12.75">
      <c r="A71" s="59"/>
      <c r="B71" s="422" t="s">
        <v>159</v>
      </c>
      <c r="C71" s="13"/>
      <c r="D71" s="13"/>
      <c r="E71" s="13"/>
      <c r="F71" s="13"/>
      <c r="G71" s="4"/>
      <c r="H71" s="4"/>
      <c r="I71" s="4"/>
      <c r="J71" s="4"/>
      <c r="K71" s="13"/>
      <c r="L71" s="13"/>
      <c r="M71" s="13"/>
      <c r="N71" s="13"/>
      <c r="O71" s="13"/>
      <c r="P71" s="271"/>
      <c r="Q71" s="13"/>
      <c r="R71" s="13"/>
      <c r="S71" s="13"/>
      <c r="T71" s="13"/>
      <c r="U71" s="13"/>
      <c r="V71" s="13"/>
      <c r="W71" s="13"/>
      <c r="X71" s="13"/>
    </row>
    <row r="72" spans="1:24" s="7" customFormat="1" ht="12.75">
      <c r="A72" s="59"/>
      <c r="C72" s="13"/>
      <c r="D72" s="13"/>
      <c r="E72" s="13"/>
      <c r="F72" s="13"/>
      <c r="G72" s="4"/>
      <c r="H72" s="4"/>
      <c r="I72" s="4"/>
      <c r="J72" s="4"/>
      <c r="K72" s="13"/>
      <c r="L72" s="13"/>
      <c r="M72" s="13"/>
      <c r="N72" s="13"/>
      <c r="O72" s="13"/>
      <c r="P72" s="271"/>
      <c r="Q72" s="13"/>
      <c r="R72" s="13"/>
      <c r="S72" s="13"/>
      <c r="T72" s="13"/>
      <c r="U72" s="13"/>
      <c r="V72" s="13"/>
      <c r="W72" s="13"/>
      <c r="X72" s="13"/>
    </row>
    <row r="73" spans="1:24" s="7" customFormat="1" ht="12.75">
      <c r="A73" s="59"/>
      <c r="C73" s="13"/>
      <c r="D73" s="13"/>
      <c r="E73" s="13"/>
      <c r="F73" s="13"/>
      <c r="G73" s="4"/>
      <c r="H73" s="4"/>
      <c r="I73" s="4"/>
      <c r="J73" s="4"/>
      <c r="K73" s="13"/>
      <c r="L73" s="13"/>
      <c r="M73" s="13"/>
      <c r="N73" s="13"/>
      <c r="O73" s="13"/>
      <c r="P73" s="271"/>
      <c r="Q73" s="13"/>
      <c r="R73" s="13"/>
      <c r="S73" s="13"/>
      <c r="T73" s="13"/>
      <c r="U73" s="13"/>
      <c r="V73" s="13"/>
      <c r="W73" s="13"/>
      <c r="X73" s="13"/>
    </row>
    <row r="74" spans="1:24" s="7" customFormat="1" ht="12.75">
      <c r="A74" s="59"/>
      <c r="C74" s="13"/>
      <c r="D74" s="13"/>
      <c r="E74" s="13"/>
      <c r="F74" s="13"/>
      <c r="G74" s="4"/>
      <c r="H74" s="4"/>
      <c r="I74" s="4"/>
      <c r="J74" s="4"/>
      <c r="K74" s="13"/>
      <c r="L74" s="13"/>
      <c r="M74" s="13"/>
      <c r="N74" s="13"/>
      <c r="O74" s="13"/>
      <c r="P74" s="271"/>
      <c r="Q74" s="13"/>
      <c r="R74" s="13"/>
      <c r="S74" s="13"/>
      <c r="T74" s="13"/>
      <c r="U74" s="13"/>
      <c r="V74" s="13"/>
      <c r="W74" s="13"/>
      <c r="X74" s="13"/>
    </row>
    <row r="75" spans="2:23" ht="12.75">
      <c r="B75" s="421" t="s">
        <v>116</v>
      </c>
      <c r="C75" s="13"/>
      <c r="D75" s="13"/>
      <c r="E75" s="13"/>
      <c r="F75" s="13"/>
      <c r="G75" s="9"/>
      <c r="H75" s="9"/>
      <c r="I75" s="9"/>
      <c r="J75" s="9"/>
      <c r="K75" s="2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2:23" ht="22.5">
      <c r="B76" s="539" t="str">
        <f>B2</f>
        <v>THE SUPPLY AND DEMAND FOR  MAIZE IN SOUTH AFRICA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2:23" ht="15.75" thickBot="1">
      <c r="B77" s="545"/>
      <c r="C77" s="540" t="str">
        <f aca="true" t="shared" si="13" ref="C77:S77">C6</f>
        <v>1997/98</v>
      </c>
      <c r="D77" s="556" t="str">
        <f t="shared" si="13"/>
        <v>1998/99</v>
      </c>
      <c r="E77" s="556" t="str">
        <f t="shared" si="13"/>
        <v>1999/00</v>
      </c>
      <c r="F77" s="556" t="str">
        <f t="shared" si="13"/>
        <v>2000/01</v>
      </c>
      <c r="G77" s="556" t="str">
        <f t="shared" si="13"/>
        <v>2001/02</v>
      </c>
      <c r="H77" s="556" t="str">
        <f t="shared" si="13"/>
        <v>2002/03</v>
      </c>
      <c r="I77" s="556" t="str">
        <f t="shared" si="13"/>
        <v>2003/04</v>
      </c>
      <c r="J77" s="556" t="str">
        <f t="shared" si="13"/>
        <v>2004/05</v>
      </c>
      <c r="K77" s="556" t="str">
        <f t="shared" si="13"/>
        <v>2005/06</v>
      </c>
      <c r="L77" s="556" t="str">
        <f t="shared" si="13"/>
        <v>2006/07</v>
      </c>
      <c r="M77" s="556" t="str">
        <f t="shared" si="13"/>
        <v>2007/08</v>
      </c>
      <c r="N77" s="556" t="str">
        <f t="shared" si="13"/>
        <v>2008/09</v>
      </c>
      <c r="O77" s="556" t="str">
        <f t="shared" si="13"/>
        <v>2009/10</v>
      </c>
      <c r="P77" s="556" t="str">
        <f t="shared" si="13"/>
        <v>2010/11</v>
      </c>
      <c r="Q77" s="556" t="str">
        <f t="shared" si="13"/>
        <v>2011/12</v>
      </c>
      <c r="R77" s="556" t="str">
        <f t="shared" si="13"/>
        <v>2012/13</v>
      </c>
      <c r="S77" s="556" t="str">
        <f t="shared" si="13"/>
        <v>2013/14</v>
      </c>
      <c r="T77" s="556"/>
      <c r="U77" s="556"/>
      <c r="V77" s="556"/>
      <c r="W77" s="556"/>
    </row>
    <row r="78" spans="2:23" ht="15">
      <c r="B78" s="541" t="str">
        <f>B16</f>
        <v>Kommersiële aanbod / Commercial supply </v>
      </c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  <c r="W78" s="545"/>
    </row>
    <row r="79" spans="2:23" ht="15">
      <c r="B79" s="546" t="str">
        <f>B17</f>
        <v>Beginvoorraad (1 Mei) / Opening stocks (1 May )</v>
      </c>
      <c r="C79" s="558">
        <f aca="true" t="shared" si="14" ref="C79:S79">C17</f>
        <v>1283</v>
      </c>
      <c r="D79" s="558">
        <f t="shared" si="14"/>
        <v>1949</v>
      </c>
      <c r="E79" s="558">
        <f t="shared" si="14"/>
        <v>847</v>
      </c>
      <c r="F79" s="558">
        <f t="shared" si="14"/>
        <v>983</v>
      </c>
      <c r="G79" s="558">
        <f t="shared" si="14"/>
        <v>2115</v>
      </c>
      <c r="H79" s="558">
        <f t="shared" si="14"/>
        <v>1202</v>
      </c>
      <c r="I79" s="558">
        <f t="shared" si="14"/>
        <v>2710</v>
      </c>
      <c r="J79" s="558">
        <f t="shared" si="14"/>
        <v>2624</v>
      </c>
      <c r="K79" s="558">
        <f t="shared" si="14"/>
        <v>3148</v>
      </c>
      <c r="L79" s="558">
        <f t="shared" si="14"/>
        <v>3168</v>
      </c>
      <c r="M79" s="558">
        <f t="shared" si="14"/>
        <v>2070</v>
      </c>
      <c r="N79" s="558">
        <f t="shared" si="14"/>
        <v>1049</v>
      </c>
      <c r="O79" s="558">
        <f t="shared" si="14"/>
        <v>1581</v>
      </c>
      <c r="P79" s="558">
        <f t="shared" si="14"/>
        <v>2131</v>
      </c>
      <c r="Q79" s="558">
        <f t="shared" si="14"/>
        <v>2336</v>
      </c>
      <c r="R79" s="558">
        <f t="shared" si="14"/>
        <v>994</v>
      </c>
      <c r="S79" s="558">
        <f t="shared" si="14"/>
        <v>1417.393</v>
      </c>
      <c r="T79" s="558"/>
      <c r="U79" s="558"/>
      <c r="V79" s="558"/>
      <c r="W79" s="558"/>
    </row>
    <row r="80" spans="2:23" ht="15">
      <c r="B80" s="546" t="str">
        <f>B18</f>
        <v>Kommersiële lewerings / Commercial deliveries </v>
      </c>
      <c r="C80" s="558">
        <f aca="true" t="shared" si="15" ref="C80:S80">C18</f>
        <v>9732</v>
      </c>
      <c r="D80" s="558">
        <f t="shared" si="15"/>
        <v>6854</v>
      </c>
      <c r="E80" s="558">
        <f t="shared" si="15"/>
        <v>7075</v>
      </c>
      <c r="F80" s="558">
        <f t="shared" si="15"/>
        <v>10409</v>
      </c>
      <c r="G80" s="558">
        <f t="shared" si="15"/>
        <v>7936</v>
      </c>
      <c r="H80" s="558">
        <f t="shared" si="15"/>
        <v>9310</v>
      </c>
      <c r="I80" s="558">
        <f t="shared" si="15"/>
        <v>8409</v>
      </c>
      <c r="J80" s="558">
        <f t="shared" si="15"/>
        <v>9093</v>
      </c>
      <c r="K80" s="558">
        <f t="shared" si="15"/>
        <v>10055</v>
      </c>
      <c r="L80" s="558">
        <f t="shared" si="15"/>
        <v>6707</v>
      </c>
      <c r="M80" s="558">
        <f t="shared" si="15"/>
        <v>6882</v>
      </c>
      <c r="N80" s="558">
        <f t="shared" si="15"/>
        <v>11899</v>
      </c>
      <c r="O80" s="558">
        <f t="shared" si="15"/>
        <v>11629</v>
      </c>
      <c r="P80" s="558">
        <f t="shared" si="15"/>
        <v>12016</v>
      </c>
      <c r="Q80" s="558">
        <f t="shared" si="15"/>
        <v>10340</v>
      </c>
      <c r="R80" s="558">
        <f t="shared" si="15"/>
        <v>11929</v>
      </c>
      <c r="S80" s="558">
        <f t="shared" si="15"/>
        <v>10991.994999999999</v>
      </c>
      <c r="T80" s="558"/>
      <c r="U80" s="558"/>
      <c r="V80" s="558"/>
      <c r="W80" s="558"/>
    </row>
    <row r="81" spans="2:23" ht="15">
      <c r="B81" s="546" t="str">
        <f>B19</f>
        <v>Invoere /Imports</v>
      </c>
      <c r="C81" s="558">
        <f aca="true" t="shared" si="16" ref="C81:S81">C19</f>
        <v>109</v>
      </c>
      <c r="D81" s="558">
        <f t="shared" si="16"/>
        <v>98</v>
      </c>
      <c r="E81" s="558">
        <f t="shared" si="16"/>
        <v>569</v>
      </c>
      <c r="F81" s="558">
        <f t="shared" si="16"/>
        <v>0</v>
      </c>
      <c r="G81" s="558">
        <f t="shared" si="16"/>
        <v>395</v>
      </c>
      <c r="H81" s="558">
        <f t="shared" si="16"/>
        <v>925</v>
      </c>
      <c r="I81" s="558">
        <f t="shared" si="16"/>
        <v>441</v>
      </c>
      <c r="J81" s="558">
        <f t="shared" si="16"/>
        <v>219</v>
      </c>
      <c r="K81" s="558">
        <f t="shared" si="16"/>
        <v>360</v>
      </c>
      <c r="L81" s="558">
        <f t="shared" si="16"/>
        <v>930</v>
      </c>
      <c r="M81" s="558">
        <f t="shared" si="16"/>
        <v>1120</v>
      </c>
      <c r="N81" s="558">
        <f t="shared" si="16"/>
        <v>27</v>
      </c>
      <c r="O81" s="558">
        <f t="shared" si="16"/>
        <v>27</v>
      </c>
      <c r="P81" s="558">
        <f t="shared" si="16"/>
        <v>0</v>
      </c>
      <c r="Q81" s="558">
        <f t="shared" si="16"/>
        <v>421</v>
      </c>
      <c r="R81" s="558">
        <f t="shared" si="16"/>
        <v>11</v>
      </c>
      <c r="S81" s="558">
        <f t="shared" si="16"/>
        <v>79.682</v>
      </c>
      <c r="T81" s="558"/>
      <c r="U81" s="558"/>
      <c r="V81" s="558"/>
      <c r="W81" s="558"/>
    </row>
    <row r="82" spans="2:23" ht="15">
      <c r="B82" s="545" t="str">
        <f>B20</f>
        <v>Totaal kommersiële aanbod /Total commercial supply</v>
      </c>
      <c r="C82" s="558">
        <f aca="true" t="shared" si="17" ref="C82:S82">C20</f>
        <v>11124</v>
      </c>
      <c r="D82" s="558">
        <f t="shared" si="17"/>
        <v>8901</v>
      </c>
      <c r="E82" s="558">
        <f t="shared" si="17"/>
        <v>8491</v>
      </c>
      <c r="F82" s="558">
        <f t="shared" si="17"/>
        <v>11392</v>
      </c>
      <c r="G82" s="558">
        <f t="shared" si="17"/>
        <v>10446</v>
      </c>
      <c r="H82" s="558">
        <f t="shared" si="17"/>
        <v>11437</v>
      </c>
      <c r="I82" s="558">
        <f t="shared" si="17"/>
        <v>11560</v>
      </c>
      <c r="J82" s="558">
        <f t="shared" si="17"/>
        <v>11936</v>
      </c>
      <c r="K82" s="558">
        <f t="shared" si="17"/>
        <v>13563</v>
      </c>
      <c r="L82" s="558">
        <f t="shared" si="17"/>
        <v>10805</v>
      </c>
      <c r="M82" s="558">
        <f t="shared" si="17"/>
        <v>10072</v>
      </c>
      <c r="N82" s="558">
        <f t="shared" si="17"/>
        <v>12975</v>
      </c>
      <c r="O82" s="558">
        <f t="shared" si="17"/>
        <v>13237</v>
      </c>
      <c r="P82" s="558">
        <f t="shared" si="17"/>
        <v>14147</v>
      </c>
      <c r="Q82" s="558">
        <f t="shared" si="17"/>
        <v>13097</v>
      </c>
      <c r="R82" s="558">
        <f t="shared" si="17"/>
        <v>12934</v>
      </c>
      <c r="S82" s="558">
        <f t="shared" si="17"/>
        <v>12489.07</v>
      </c>
      <c r="T82" s="558"/>
      <c r="U82" s="558"/>
      <c r="V82" s="558"/>
      <c r="W82" s="558"/>
    </row>
    <row r="83" spans="2:23" ht="15">
      <c r="B83" s="550" t="str">
        <f>B22</f>
        <v>Kommersiële vraag / Commercial demand</v>
      </c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</row>
    <row r="84" spans="2:23" ht="15">
      <c r="B84" s="552" t="str">
        <f aca="true" t="shared" si="18" ref="B84:S84">B24</f>
        <v>    Voedsel /   Food</v>
      </c>
      <c r="C84" s="557">
        <f t="shared" si="18"/>
        <v>3410</v>
      </c>
      <c r="D84" s="557">
        <f t="shared" si="18"/>
        <v>3381</v>
      </c>
      <c r="E84" s="557">
        <f t="shared" si="18"/>
        <v>3426</v>
      </c>
      <c r="F84" s="557">
        <f t="shared" si="18"/>
        <v>3589</v>
      </c>
      <c r="G84" s="557">
        <f t="shared" si="18"/>
        <v>3877</v>
      </c>
      <c r="H84" s="557">
        <f t="shared" si="18"/>
        <v>3708</v>
      </c>
      <c r="I84" s="557">
        <f t="shared" si="18"/>
        <v>3712</v>
      </c>
      <c r="J84" s="557">
        <f t="shared" si="18"/>
        <v>3740</v>
      </c>
      <c r="K84" s="557">
        <f t="shared" si="18"/>
        <v>3825</v>
      </c>
      <c r="L84" s="557">
        <f t="shared" si="18"/>
        <v>3816</v>
      </c>
      <c r="M84" s="557">
        <f t="shared" si="18"/>
        <v>3809</v>
      </c>
      <c r="N84" s="557">
        <f t="shared" si="18"/>
        <v>4524</v>
      </c>
      <c r="O84" s="557">
        <f t="shared" si="18"/>
        <v>4471</v>
      </c>
      <c r="P84" s="557">
        <f t="shared" si="18"/>
        <v>4513</v>
      </c>
      <c r="Q84" s="557">
        <f t="shared" si="18"/>
        <v>4512</v>
      </c>
      <c r="R84" s="557">
        <f t="shared" si="18"/>
        <v>4499</v>
      </c>
      <c r="S84" s="557">
        <f t="shared" si="18"/>
        <v>4582.31</v>
      </c>
      <c r="T84" s="557"/>
      <c r="U84" s="557"/>
      <c r="V84" s="557"/>
      <c r="W84" s="557"/>
    </row>
    <row r="85" spans="2:23" ht="15">
      <c r="B85" s="547" t="str">
        <f aca="true" t="shared" si="19" ref="B85:S85">B25</f>
        <v>    Voer /   Feed</v>
      </c>
      <c r="C85" s="558">
        <f t="shared" si="19"/>
        <v>2973</v>
      </c>
      <c r="D85" s="558">
        <f t="shared" si="19"/>
        <v>2960</v>
      </c>
      <c r="E85" s="558">
        <f t="shared" si="19"/>
        <v>2936</v>
      </c>
      <c r="F85" s="558">
        <f t="shared" si="19"/>
        <v>3068</v>
      </c>
      <c r="G85" s="558">
        <f t="shared" si="19"/>
        <v>3146</v>
      </c>
      <c r="H85" s="558">
        <f t="shared" si="19"/>
        <v>3155</v>
      </c>
      <c r="I85" s="558">
        <f t="shared" si="19"/>
        <v>3416</v>
      </c>
      <c r="J85" s="558">
        <f t="shared" si="19"/>
        <v>3427</v>
      </c>
      <c r="K85" s="558">
        <f t="shared" si="19"/>
        <v>3537</v>
      </c>
      <c r="L85" s="558">
        <f t="shared" si="19"/>
        <v>3763</v>
      </c>
      <c r="M85" s="558">
        <f t="shared" si="19"/>
        <v>4157</v>
      </c>
      <c r="N85" s="558">
        <f t="shared" si="19"/>
        <v>4130</v>
      </c>
      <c r="O85" s="558">
        <f t="shared" si="19"/>
        <v>4101</v>
      </c>
      <c r="P85" s="558">
        <f t="shared" si="19"/>
        <v>4271</v>
      </c>
      <c r="Q85" s="558">
        <f t="shared" si="19"/>
        <v>4362</v>
      </c>
      <c r="R85" s="558">
        <f t="shared" si="19"/>
        <v>4378</v>
      </c>
      <c r="S85" s="558">
        <f t="shared" si="19"/>
        <v>4715.295</v>
      </c>
      <c r="T85" s="558"/>
      <c r="U85" s="558"/>
      <c r="V85" s="558"/>
      <c r="W85" s="558"/>
    </row>
    <row r="86" spans="2:23" ht="15">
      <c r="B86" s="546" t="str">
        <f>B27</f>
        <v>Ander verbruik / Other consumption</v>
      </c>
      <c r="C86" s="558">
        <f aca="true" t="shared" si="20" ref="C86:S86">C32</f>
        <v>113</v>
      </c>
      <c r="D86" s="558">
        <f t="shared" si="20"/>
        <v>98</v>
      </c>
      <c r="E86" s="558">
        <f t="shared" si="20"/>
        <v>497</v>
      </c>
      <c r="F86" s="558">
        <f t="shared" si="20"/>
        <v>1132</v>
      </c>
      <c r="G86" s="558">
        <f t="shared" si="20"/>
        <v>886</v>
      </c>
      <c r="H86" s="558">
        <f t="shared" si="20"/>
        <v>676</v>
      </c>
      <c r="I86" s="558">
        <f t="shared" si="20"/>
        <v>623</v>
      </c>
      <c r="J86" s="558">
        <f t="shared" si="20"/>
        <v>789</v>
      </c>
      <c r="K86" s="558">
        <f t="shared" si="20"/>
        <v>796</v>
      </c>
      <c r="L86" s="558">
        <f t="shared" si="20"/>
        <v>559</v>
      </c>
      <c r="M86" s="558">
        <f t="shared" si="20"/>
        <v>523</v>
      </c>
      <c r="N86" s="558">
        <f t="shared" si="20"/>
        <v>474</v>
      </c>
      <c r="O86" s="558">
        <f t="shared" si="20"/>
        <v>745</v>
      </c>
      <c r="P86" s="558">
        <f t="shared" si="20"/>
        <v>835</v>
      </c>
      <c r="Q86" s="558">
        <f t="shared" si="20"/>
        <v>654</v>
      </c>
      <c r="R86" s="558">
        <f t="shared" si="20"/>
        <v>718</v>
      </c>
      <c r="S86" s="558">
        <f t="shared" si="20"/>
        <v>369.841</v>
      </c>
      <c r="T86" s="558"/>
      <c r="U86" s="558"/>
      <c r="V86" s="558"/>
      <c r="W86" s="558"/>
    </row>
    <row r="87" spans="2:23" ht="15">
      <c r="B87" s="547" t="str">
        <f>B34</f>
        <v>   Uitvoere / Exports </v>
      </c>
      <c r="C87" s="558">
        <f aca="true" t="shared" si="21" ref="C87:S87">C37</f>
        <v>1921</v>
      </c>
      <c r="D87" s="558">
        <f t="shared" si="21"/>
        <v>1388</v>
      </c>
      <c r="E87" s="558">
        <f t="shared" si="21"/>
        <v>652</v>
      </c>
      <c r="F87" s="558">
        <f t="shared" si="21"/>
        <v>1488</v>
      </c>
      <c r="G87" s="558">
        <f t="shared" si="21"/>
        <v>1335</v>
      </c>
      <c r="H87" s="558">
        <f t="shared" si="21"/>
        <v>1188</v>
      </c>
      <c r="I87" s="558">
        <f t="shared" si="21"/>
        <v>1185</v>
      </c>
      <c r="J87" s="558">
        <f t="shared" si="21"/>
        <v>832</v>
      </c>
      <c r="K87" s="558">
        <f t="shared" si="21"/>
        <v>2237</v>
      </c>
      <c r="L87" s="558">
        <f t="shared" si="21"/>
        <v>597</v>
      </c>
      <c r="M87" s="558">
        <f t="shared" si="21"/>
        <v>534</v>
      </c>
      <c r="N87" s="558">
        <f t="shared" si="21"/>
        <v>2266</v>
      </c>
      <c r="O87" s="558">
        <f t="shared" si="21"/>
        <v>1789</v>
      </c>
      <c r="P87" s="558">
        <f t="shared" si="21"/>
        <v>2192</v>
      </c>
      <c r="Q87" s="558">
        <f t="shared" si="21"/>
        <v>2575</v>
      </c>
      <c r="R87" s="558">
        <f t="shared" si="21"/>
        <v>1946</v>
      </c>
      <c r="S87" s="558">
        <f t="shared" si="21"/>
        <v>2232.5959999999995</v>
      </c>
      <c r="T87" s="558"/>
      <c r="U87" s="558"/>
      <c r="V87" s="558"/>
      <c r="W87" s="558"/>
    </row>
    <row r="88" spans="2:23" ht="15.75" thickBot="1">
      <c r="B88" s="542" t="str">
        <f>B38</f>
        <v>Totaal kommersiële vraag / Total commercial demand</v>
      </c>
      <c r="C88" s="542">
        <f aca="true" t="shared" si="22" ref="C88:S88">C38</f>
        <v>8417</v>
      </c>
      <c r="D88" s="542">
        <f t="shared" si="22"/>
        <v>7827</v>
      </c>
      <c r="E88" s="542">
        <f t="shared" si="22"/>
        <v>7511</v>
      </c>
      <c r="F88" s="542">
        <f t="shared" si="22"/>
        <v>9277</v>
      </c>
      <c r="G88" s="542">
        <f t="shared" si="22"/>
        <v>9244</v>
      </c>
      <c r="H88" s="542">
        <f t="shared" si="22"/>
        <v>8727</v>
      </c>
      <c r="I88" s="542">
        <f t="shared" si="22"/>
        <v>8936</v>
      </c>
      <c r="J88" s="542">
        <f t="shared" si="22"/>
        <v>8788</v>
      </c>
      <c r="K88" s="542">
        <f t="shared" si="22"/>
        <v>10395</v>
      </c>
      <c r="L88" s="542">
        <f t="shared" si="22"/>
        <v>8735</v>
      </c>
      <c r="M88" s="542">
        <f t="shared" si="22"/>
        <v>9023</v>
      </c>
      <c r="N88" s="542">
        <f t="shared" si="22"/>
        <v>11394</v>
      </c>
      <c r="O88" s="542">
        <f t="shared" si="22"/>
        <v>11106</v>
      </c>
      <c r="P88" s="542">
        <f t="shared" si="22"/>
        <v>11811</v>
      </c>
      <c r="Q88" s="542">
        <f t="shared" si="22"/>
        <v>12103</v>
      </c>
      <c r="R88" s="542">
        <f t="shared" si="22"/>
        <v>11541</v>
      </c>
      <c r="S88" s="542">
        <f t="shared" si="22"/>
        <v>11900.042</v>
      </c>
      <c r="T88" s="542"/>
      <c r="U88" s="542"/>
      <c r="V88" s="542"/>
      <c r="W88" s="542"/>
    </row>
    <row r="89" spans="2:23" ht="15.75" thickTop="1">
      <c r="B89" s="543" t="str">
        <f aca="true" t="shared" si="23" ref="B89:S89">B40</f>
        <v>Eindvoorraad (30 April) / Carry-out (30 April)</v>
      </c>
      <c r="C89" s="543">
        <f t="shared" si="23"/>
        <v>2609</v>
      </c>
      <c r="D89" s="543">
        <f t="shared" si="23"/>
        <v>1074</v>
      </c>
      <c r="E89" s="543">
        <f t="shared" si="23"/>
        <v>975</v>
      </c>
      <c r="F89" s="543">
        <f t="shared" si="23"/>
        <v>2115</v>
      </c>
      <c r="G89" s="543">
        <f t="shared" si="23"/>
        <v>1202</v>
      </c>
      <c r="H89" s="543">
        <f t="shared" si="23"/>
        <v>2710</v>
      </c>
      <c r="I89" s="543">
        <f t="shared" si="23"/>
        <v>2624</v>
      </c>
      <c r="J89" s="543">
        <f t="shared" si="23"/>
        <v>3148</v>
      </c>
      <c r="K89" s="543">
        <f t="shared" si="23"/>
        <v>3168</v>
      </c>
      <c r="L89" s="543">
        <f t="shared" si="23"/>
        <v>2070</v>
      </c>
      <c r="M89" s="543">
        <f t="shared" si="23"/>
        <v>1049</v>
      </c>
      <c r="N89" s="543">
        <f t="shared" si="23"/>
        <v>1581</v>
      </c>
      <c r="O89" s="543">
        <f t="shared" si="23"/>
        <v>2131</v>
      </c>
      <c r="P89" s="543">
        <f t="shared" si="23"/>
        <v>2336</v>
      </c>
      <c r="Q89" s="543">
        <f t="shared" si="23"/>
        <v>994</v>
      </c>
      <c r="R89" s="543">
        <f t="shared" si="23"/>
        <v>1416.656</v>
      </c>
      <c r="S89" s="543">
        <f t="shared" si="23"/>
        <v>589.0279999999993</v>
      </c>
      <c r="T89" s="543"/>
      <c r="U89" s="543"/>
      <c r="V89" s="543"/>
      <c r="W89" s="543"/>
    </row>
    <row r="90" spans="2:23" ht="15">
      <c r="B90" s="544" t="str">
        <f aca="true" t="shared" si="24" ref="B90:S90">B42</f>
        <v>Benodigde pyplyn / Pipeline requirements</v>
      </c>
      <c r="C90" s="544">
        <f t="shared" si="24"/>
        <v>797.875</v>
      </c>
      <c r="D90" s="544">
        <f t="shared" si="24"/>
        <v>792.625</v>
      </c>
      <c r="E90" s="544">
        <f t="shared" si="24"/>
        <v>795.25</v>
      </c>
      <c r="F90" s="544">
        <f t="shared" si="24"/>
        <v>832.125</v>
      </c>
      <c r="G90" s="544">
        <f t="shared" si="24"/>
        <v>877.875</v>
      </c>
      <c r="H90" s="544">
        <f t="shared" si="24"/>
        <v>857.875</v>
      </c>
      <c r="I90" s="544">
        <f t="shared" si="24"/>
        <v>891</v>
      </c>
      <c r="J90" s="544">
        <f t="shared" si="24"/>
        <v>946.375</v>
      </c>
      <c r="K90" s="544">
        <f t="shared" si="24"/>
        <v>920.25</v>
      </c>
      <c r="L90" s="544">
        <f t="shared" si="24"/>
        <v>947.375</v>
      </c>
      <c r="M90" s="544">
        <f t="shared" si="24"/>
        <v>995.75</v>
      </c>
      <c r="N90" s="544">
        <f t="shared" si="24"/>
        <v>1081.75</v>
      </c>
      <c r="O90" s="544">
        <f t="shared" si="24"/>
        <v>1071.5</v>
      </c>
      <c r="P90" s="544">
        <f t="shared" si="24"/>
        <v>1098</v>
      </c>
      <c r="Q90" s="544">
        <f t="shared" si="24"/>
        <v>1109.25</v>
      </c>
      <c r="R90" s="544">
        <f t="shared" si="24"/>
        <v>1109.625</v>
      </c>
      <c r="S90" s="544">
        <f t="shared" si="24"/>
        <v>1162.200625</v>
      </c>
      <c r="T90" s="544"/>
      <c r="U90" s="544"/>
      <c r="V90" s="544"/>
      <c r="W90" s="544"/>
    </row>
    <row r="91" spans="2:23" ht="15">
      <c r="B91" s="544" t="str">
        <f aca="true" t="shared" si="25" ref="B91:S91">B44</f>
        <v>Surplus bo pyplyn / Surplus above pipeline</v>
      </c>
      <c r="C91" s="544">
        <f t="shared" si="25"/>
        <v>1811.125</v>
      </c>
      <c r="D91" s="544">
        <f t="shared" si="25"/>
        <v>281.375</v>
      </c>
      <c r="E91" s="544">
        <f t="shared" si="25"/>
        <v>179.75</v>
      </c>
      <c r="F91" s="544">
        <f t="shared" si="25"/>
        <v>1282.875</v>
      </c>
      <c r="G91" s="544">
        <f t="shared" si="25"/>
        <v>324.125</v>
      </c>
      <c r="H91" s="544">
        <f t="shared" si="25"/>
        <v>1852.125</v>
      </c>
      <c r="I91" s="544">
        <f t="shared" si="25"/>
        <v>1733</v>
      </c>
      <c r="J91" s="544">
        <f t="shared" si="25"/>
        <v>2201.625</v>
      </c>
      <c r="K91" s="544">
        <f t="shared" si="25"/>
        <v>2247.75</v>
      </c>
      <c r="L91" s="544">
        <f t="shared" si="25"/>
        <v>1122.625</v>
      </c>
      <c r="M91" s="544">
        <f t="shared" si="25"/>
        <v>53.25</v>
      </c>
      <c r="N91" s="544">
        <f t="shared" si="25"/>
        <v>499.25</v>
      </c>
      <c r="O91" s="544">
        <f t="shared" si="25"/>
        <v>1059.5</v>
      </c>
      <c r="P91" s="544">
        <f t="shared" si="25"/>
        <v>1238</v>
      </c>
      <c r="Q91" s="544">
        <f t="shared" si="25"/>
        <v>-115.25</v>
      </c>
      <c r="R91" s="544">
        <f t="shared" si="25"/>
        <v>307.03099999999995</v>
      </c>
      <c r="S91" s="544">
        <f t="shared" si="25"/>
        <v>-573.1726250000006</v>
      </c>
      <c r="T91" s="544"/>
      <c r="U91" s="544"/>
      <c r="V91" s="544"/>
      <c r="W91" s="544"/>
    </row>
  </sheetData>
  <sheetProtection/>
  <mergeCells count="3">
    <mergeCell ref="X4:X5"/>
    <mergeCell ref="V4:V5"/>
    <mergeCell ref="W4:W5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1">
      <selection activeCell="R62" sqref="R62:S62"/>
    </sheetView>
  </sheetViews>
  <sheetFormatPr defaultColWidth="9.140625" defaultRowHeight="12.75"/>
  <cols>
    <col min="1" max="1" width="2.140625" style="59" bestFit="1" customWidth="1"/>
    <col min="2" max="2" width="68.140625" style="7" customWidth="1"/>
    <col min="3" max="3" width="9.421875" style="7" hidden="1" customWidth="1"/>
    <col min="4" max="4" width="9.140625" style="7" hidden="1" customWidth="1"/>
    <col min="5" max="5" width="9.28125" style="7" hidden="1" customWidth="1"/>
    <col min="6" max="11" width="9.140625" style="7" hidden="1" customWidth="1"/>
    <col min="12" max="12" width="9.140625" style="47" hidden="1" customWidth="1"/>
    <col min="13" max="14" width="9.140625" style="7" hidden="1" customWidth="1"/>
    <col min="15" max="15" width="9.7109375" style="7" hidden="1" customWidth="1"/>
    <col min="16" max="16" width="10.421875" style="7" hidden="1" customWidth="1"/>
    <col min="17" max="17" width="9.7109375" style="47" hidden="1" customWidth="1"/>
    <col min="18" max="18" width="11.00390625" style="47" customWidth="1"/>
    <col min="19" max="19" width="13.7109375" style="7" customWidth="1"/>
    <col min="20" max="20" width="15.7109375" style="7" customWidth="1"/>
    <col min="21" max="22" width="15.8515625" style="7" customWidth="1"/>
    <col min="23" max="23" width="15.140625" style="7" customWidth="1"/>
    <col min="24" max="24" width="1.57421875" style="7" customWidth="1"/>
    <col min="25" max="16384" width="9.140625" style="7" customWidth="1"/>
  </cols>
  <sheetData>
    <row r="1" spans="2:23" ht="12.75">
      <c r="B1" s="494" t="s">
        <v>64</v>
      </c>
      <c r="C1" s="444"/>
      <c r="D1" s="444"/>
      <c r="E1" s="444"/>
      <c r="F1" s="495"/>
      <c r="G1" s="444"/>
      <c r="H1" s="444"/>
      <c r="I1" s="444"/>
      <c r="J1" s="444"/>
      <c r="K1" s="444"/>
      <c r="L1" s="496"/>
      <c r="M1" s="444"/>
      <c r="N1" s="444"/>
      <c r="O1" s="444"/>
      <c r="P1" s="444"/>
      <c r="Q1" s="496"/>
      <c r="R1" s="497"/>
      <c r="S1" s="444"/>
      <c r="T1" s="444"/>
      <c r="U1" s="444"/>
      <c r="V1" s="444"/>
      <c r="W1" s="446"/>
    </row>
    <row r="2" spans="2:23" ht="12.75">
      <c r="B2" s="240" t="s">
        <v>65</v>
      </c>
      <c r="C2" s="22"/>
      <c r="D2" s="22"/>
      <c r="E2" s="22"/>
      <c r="F2" s="22"/>
      <c r="G2" s="22"/>
      <c r="H2" s="22"/>
      <c r="I2" s="22"/>
      <c r="J2" s="22"/>
      <c r="K2" s="22"/>
      <c r="L2" s="48"/>
      <c r="M2" s="22"/>
      <c r="N2" s="22"/>
      <c r="O2" s="22"/>
      <c r="P2" s="22"/>
      <c r="Q2" s="48"/>
      <c r="R2" s="48"/>
      <c r="S2" s="22"/>
      <c r="T2" s="22"/>
      <c r="U2" s="22"/>
      <c r="V2" s="22"/>
      <c r="W2" s="472"/>
    </row>
    <row r="3" spans="2:23" ht="13.5" thickBot="1">
      <c r="B3" s="79" t="s">
        <v>43</v>
      </c>
      <c r="C3" s="22"/>
      <c r="D3" s="22"/>
      <c r="E3" s="22"/>
      <c r="F3" s="22"/>
      <c r="G3" s="22"/>
      <c r="H3" s="22"/>
      <c r="I3" s="22"/>
      <c r="J3" s="22"/>
      <c r="K3" s="22"/>
      <c r="L3" s="48"/>
      <c r="M3" s="22"/>
      <c r="N3" s="22"/>
      <c r="O3" s="22"/>
      <c r="P3" s="22"/>
      <c r="Q3" s="48"/>
      <c r="R3" s="48"/>
      <c r="S3" s="22"/>
      <c r="T3" s="451"/>
      <c r="U3" s="451"/>
      <c r="V3" s="451"/>
      <c r="W3" s="474"/>
    </row>
    <row r="4" spans="2:23" ht="14.25" customHeight="1" thickBot="1">
      <c r="B4" s="465" t="s">
        <v>53</v>
      </c>
      <c r="C4" s="444"/>
      <c r="D4" s="444"/>
      <c r="E4" s="444"/>
      <c r="F4" s="444"/>
      <c r="G4" s="444"/>
      <c r="H4" s="444"/>
      <c r="I4" s="444"/>
      <c r="J4" s="444"/>
      <c r="K4" s="444"/>
      <c r="L4" s="496"/>
      <c r="M4" s="444"/>
      <c r="N4" s="445"/>
      <c r="O4" s="444"/>
      <c r="P4" s="444"/>
      <c r="Q4" s="496"/>
      <c r="R4" s="666"/>
      <c r="S4" s="667"/>
      <c r="T4" s="743" t="s">
        <v>126</v>
      </c>
      <c r="U4" s="750" t="s">
        <v>126</v>
      </c>
      <c r="V4" s="775" t="s">
        <v>138</v>
      </c>
      <c r="W4" s="775" t="s">
        <v>112</v>
      </c>
    </row>
    <row r="5" spans="2:23" ht="15" thickBot="1">
      <c r="B5" s="469">
        <f>'Voorblad Front page'!B5</f>
        <v>41912</v>
      </c>
      <c r="C5" s="451" t="s">
        <v>42</v>
      </c>
      <c r="D5" s="451"/>
      <c r="E5" s="451"/>
      <c r="F5" s="451"/>
      <c r="G5" s="451"/>
      <c r="H5" s="451"/>
      <c r="I5" s="451"/>
      <c r="J5" s="451"/>
      <c r="K5" s="451"/>
      <c r="L5" s="501"/>
      <c r="M5" s="451"/>
      <c r="N5" s="56"/>
      <c r="O5" s="56"/>
      <c r="P5" s="56"/>
      <c r="Q5" s="262"/>
      <c r="R5" s="668"/>
      <c r="S5" s="500"/>
      <c r="T5" s="744" t="s">
        <v>137</v>
      </c>
      <c r="U5" s="751" t="s">
        <v>153</v>
      </c>
      <c r="V5" s="776"/>
      <c r="W5" s="776"/>
    </row>
    <row r="6" spans="2:23" ht="13.5" thickBot="1">
      <c r="B6" s="660" t="s">
        <v>67</v>
      </c>
      <c r="C6" s="661" t="s">
        <v>8</v>
      </c>
      <c r="D6" s="457" t="s">
        <v>1</v>
      </c>
      <c r="E6" s="661" t="s">
        <v>81</v>
      </c>
      <c r="F6" s="457" t="s">
        <v>2</v>
      </c>
      <c r="G6" s="661" t="s">
        <v>10</v>
      </c>
      <c r="H6" s="662" t="s">
        <v>11</v>
      </c>
      <c r="I6" s="663" t="s">
        <v>39</v>
      </c>
      <c r="J6" s="662" t="s">
        <v>44</v>
      </c>
      <c r="K6" s="664" t="s">
        <v>46</v>
      </c>
      <c r="L6" s="665" t="s">
        <v>54</v>
      </c>
      <c r="M6" s="663" t="s">
        <v>55</v>
      </c>
      <c r="N6" s="663" t="s">
        <v>66</v>
      </c>
      <c r="O6" s="583" t="s">
        <v>73</v>
      </c>
      <c r="P6" s="654" t="s">
        <v>77</v>
      </c>
      <c r="Q6" s="654" t="s">
        <v>84</v>
      </c>
      <c r="R6" s="725" t="s">
        <v>120</v>
      </c>
      <c r="S6" s="726" t="s">
        <v>125</v>
      </c>
      <c r="T6" s="745" t="s">
        <v>123</v>
      </c>
      <c r="U6" s="745" t="s">
        <v>123</v>
      </c>
      <c r="V6" s="746" t="s">
        <v>111</v>
      </c>
      <c r="W6" s="746" t="s">
        <v>111</v>
      </c>
    </row>
    <row r="7" spans="2:23" ht="12.75">
      <c r="B7" s="52" t="s">
        <v>59</v>
      </c>
      <c r="C7" s="411">
        <v>160.6</v>
      </c>
      <c r="D7" s="355">
        <v>131.277</v>
      </c>
      <c r="E7" s="355">
        <v>98.9</v>
      </c>
      <c r="F7" s="355">
        <v>142.2</v>
      </c>
      <c r="G7" s="355">
        <v>88.3</v>
      </c>
      <c r="H7" s="355">
        <v>75.25</v>
      </c>
      <c r="I7" s="355">
        <v>95.497</v>
      </c>
      <c r="J7" s="356">
        <v>130</v>
      </c>
      <c r="K7" s="356">
        <v>86.5</v>
      </c>
      <c r="L7" s="357">
        <v>37.150000000000006</v>
      </c>
      <c r="M7" s="356">
        <v>69</v>
      </c>
      <c r="N7" s="414">
        <v>86.8</v>
      </c>
      <c r="O7" s="211">
        <v>85.5</v>
      </c>
      <c r="P7" s="264">
        <v>86.675</v>
      </c>
      <c r="Q7" s="294">
        <v>69.2</v>
      </c>
      <c r="R7" s="294">
        <v>48.55</v>
      </c>
      <c r="S7" s="727">
        <v>63</v>
      </c>
      <c r="T7" s="568">
        <v>78.85</v>
      </c>
      <c r="U7" s="568">
        <v>78.85</v>
      </c>
      <c r="V7" s="653">
        <f>(U7-T7)/T7</f>
        <v>0</v>
      </c>
      <c r="W7" s="653">
        <f>(U7-S7)/S7</f>
        <v>0.25158730158730147</v>
      </c>
    </row>
    <row r="8" spans="2:23" ht="12.75">
      <c r="B8" s="336" t="s">
        <v>58</v>
      </c>
      <c r="C8" s="412">
        <f>C9/C7</f>
        <v>2.2104607721046077</v>
      </c>
      <c r="D8" s="358">
        <f aca="true" t="shared" si="0" ref="D8:R8">D9/D7</f>
        <v>2.0155853652962823</v>
      </c>
      <c r="E8" s="358">
        <f t="shared" si="0"/>
        <v>1.5768452982810919</v>
      </c>
      <c r="F8" s="358">
        <f t="shared" si="0"/>
        <v>2.478551336146273</v>
      </c>
      <c r="G8" s="358">
        <f t="shared" si="0"/>
        <v>1.988448471121178</v>
      </c>
      <c r="H8" s="358">
        <f t="shared" si="0"/>
        <v>2.624916943521595</v>
      </c>
      <c r="I8" s="358">
        <f t="shared" si="0"/>
        <v>2.298909913400421</v>
      </c>
      <c r="J8" s="358">
        <f t="shared" si="0"/>
        <v>2.8692307692307693</v>
      </c>
      <c r="K8" s="358">
        <f t="shared" si="0"/>
        <v>3.005780346820809</v>
      </c>
      <c r="L8" s="358">
        <f t="shared" si="0"/>
        <v>2.5841184387617764</v>
      </c>
      <c r="M8" s="358">
        <f t="shared" si="0"/>
        <v>2.550724637681159</v>
      </c>
      <c r="N8" s="415">
        <f t="shared" si="0"/>
        <v>2.9377880184331793</v>
      </c>
      <c r="O8" s="417">
        <f t="shared" si="0"/>
        <v>3.2339181286549707</v>
      </c>
      <c r="P8" s="417">
        <f t="shared" si="0"/>
        <v>2.2670897029131813</v>
      </c>
      <c r="Q8" s="417">
        <f t="shared" si="0"/>
        <v>2.239884393063584</v>
      </c>
      <c r="R8" s="728">
        <f t="shared" si="0"/>
        <v>2.7909371781668386</v>
      </c>
      <c r="S8" s="728">
        <f>S9/S7</f>
        <v>2.336507936507936</v>
      </c>
      <c r="T8" s="580">
        <v>3.410526315789474</v>
      </c>
      <c r="U8" s="580">
        <f>U9/U7</f>
        <v>3.410526315789474</v>
      </c>
      <c r="V8" s="651">
        <f>(U8-T8)/T8</f>
        <v>0</v>
      </c>
      <c r="W8" s="651">
        <f>(U8-S8)/S8</f>
        <v>0.45966819221967997</v>
      </c>
    </row>
    <row r="9" spans="2:23" ht="12.75">
      <c r="B9" s="337" t="s">
        <v>75</v>
      </c>
      <c r="C9" s="411">
        <v>355</v>
      </c>
      <c r="D9" s="355">
        <v>264.6</v>
      </c>
      <c r="E9" s="355">
        <v>155.95</v>
      </c>
      <c r="F9" s="355">
        <v>352.45</v>
      </c>
      <c r="G9" s="355">
        <v>175.58</v>
      </c>
      <c r="H9" s="355">
        <v>197.525</v>
      </c>
      <c r="I9" s="355">
        <v>219.53900000000002</v>
      </c>
      <c r="J9" s="356">
        <v>373</v>
      </c>
      <c r="K9" s="356">
        <v>260</v>
      </c>
      <c r="L9" s="357">
        <v>96</v>
      </c>
      <c r="M9" s="356">
        <v>176</v>
      </c>
      <c r="N9" s="414">
        <v>254.99999999999997</v>
      </c>
      <c r="O9" s="212">
        <v>276.5</v>
      </c>
      <c r="P9" s="265">
        <v>196.5</v>
      </c>
      <c r="Q9" s="295">
        <v>155</v>
      </c>
      <c r="R9" s="295">
        <v>135.5</v>
      </c>
      <c r="S9" s="729">
        <v>147.2</v>
      </c>
      <c r="T9" s="569">
        <v>268.92</v>
      </c>
      <c r="U9" s="569">
        <v>268.92</v>
      </c>
      <c r="V9" s="651">
        <f>(U9-T9)/T9</f>
        <v>0</v>
      </c>
      <c r="W9" s="651">
        <f>(U9-S9)/S9</f>
        <v>0.8269021739130438</v>
      </c>
    </row>
    <row r="10" spans="2:23" ht="12.75">
      <c r="B10" s="337" t="s">
        <v>91</v>
      </c>
      <c r="C10" s="413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416"/>
      <c r="O10" s="418"/>
      <c r="P10" s="419"/>
      <c r="Q10" s="420"/>
      <c r="R10" s="420">
        <v>3.5</v>
      </c>
      <c r="S10" s="730">
        <v>2.9</v>
      </c>
      <c r="T10" s="570">
        <v>3.7</v>
      </c>
      <c r="U10" s="570">
        <v>3.7</v>
      </c>
      <c r="V10" s="651">
        <f>(U10-T10)/T10</f>
        <v>0</v>
      </c>
      <c r="W10" s="651">
        <f>(U10-S10)/S10</f>
        <v>0.27586206896551735</v>
      </c>
    </row>
    <row r="11" spans="2:23" ht="12.75">
      <c r="B11" s="337"/>
      <c r="C11" s="413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416"/>
      <c r="O11" s="418"/>
      <c r="P11" s="419"/>
      <c r="Q11" s="420"/>
      <c r="R11" s="420"/>
      <c r="S11" s="730"/>
      <c r="T11" s="570"/>
      <c r="U11" s="570"/>
      <c r="V11" s="651"/>
      <c r="W11" s="651"/>
    </row>
    <row r="12" spans="2:23" ht="12.75">
      <c r="B12" s="337"/>
      <c r="C12" s="413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416"/>
      <c r="O12" s="418"/>
      <c r="P12" s="419"/>
      <c r="Q12" s="420"/>
      <c r="R12" s="420"/>
      <c r="S12" s="730"/>
      <c r="T12" s="570"/>
      <c r="U12" s="570"/>
      <c r="V12" s="651"/>
      <c r="W12" s="651"/>
    </row>
    <row r="13" spans="2:23" ht="13.5" thickBot="1">
      <c r="B13" s="338" t="s">
        <v>92</v>
      </c>
      <c r="C13" s="413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416"/>
      <c r="O13" s="213"/>
      <c r="P13" s="266"/>
      <c r="Q13" s="296"/>
      <c r="R13" s="731">
        <f>R9-R10-R11+R12</f>
        <v>132</v>
      </c>
      <c r="S13" s="731">
        <f>S9-S10-S11+S12</f>
        <v>144.29999999999998</v>
      </c>
      <c r="T13" s="581">
        <v>229.52</v>
      </c>
      <c r="U13" s="581">
        <v>229.52</v>
      </c>
      <c r="V13" s="651">
        <f>(U13-T13)/T13</f>
        <v>0</v>
      </c>
      <c r="W13" s="651">
        <f>(U13-S13)/S13</f>
        <v>0.5905751905751908</v>
      </c>
    </row>
    <row r="14" spans="2:23" ht="13.5" thickBot="1">
      <c r="B14" s="244"/>
      <c r="C14" s="345" t="s">
        <v>3</v>
      </c>
      <c r="D14" s="346" t="s">
        <v>3</v>
      </c>
      <c r="E14" s="345" t="s">
        <v>3</v>
      </c>
      <c r="F14" s="346" t="s">
        <v>3</v>
      </c>
      <c r="G14" s="345" t="s">
        <v>3</v>
      </c>
      <c r="H14" s="347" t="s">
        <v>3</v>
      </c>
      <c r="I14" s="345" t="s">
        <v>3</v>
      </c>
      <c r="J14" s="347" t="s">
        <v>3</v>
      </c>
      <c r="K14" s="348" t="s">
        <v>3</v>
      </c>
      <c r="L14" s="349" t="s">
        <v>3</v>
      </c>
      <c r="M14" s="350" t="s">
        <v>3</v>
      </c>
      <c r="N14" s="351" t="s">
        <v>3</v>
      </c>
      <c r="O14" s="352" t="s">
        <v>3</v>
      </c>
      <c r="P14" s="353" t="s">
        <v>3</v>
      </c>
      <c r="Q14" s="354" t="s">
        <v>3</v>
      </c>
      <c r="R14" s="354" t="s">
        <v>3</v>
      </c>
      <c r="S14" s="732" t="s">
        <v>3</v>
      </c>
      <c r="T14" s="571" t="s">
        <v>4</v>
      </c>
      <c r="U14" s="571" t="s">
        <v>4</v>
      </c>
      <c r="V14" s="747"/>
      <c r="W14" s="747"/>
    </row>
    <row r="15" spans="2:23" ht="13.5" thickBot="1">
      <c r="B15" s="250"/>
      <c r="C15" s="251" t="s">
        <v>0</v>
      </c>
      <c r="D15" s="252" t="s">
        <v>0</v>
      </c>
      <c r="E15" s="251" t="s">
        <v>0</v>
      </c>
      <c r="F15" s="252" t="s">
        <v>0</v>
      </c>
      <c r="G15" s="251" t="s">
        <v>0</v>
      </c>
      <c r="H15" s="253" t="s">
        <v>0</v>
      </c>
      <c r="I15" s="251" t="s">
        <v>0</v>
      </c>
      <c r="J15" s="254" t="s">
        <v>0</v>
      </c>
      <c r="K15" s="255" t="s">
        <v>0</v>
      </c>
      <c r="L15" s="256" t="s">
        <v>0</v>
      </c>
      <c r="M15" s="257" t="s">
        <v>0</v>
      </c>
      <c r="N15" s="257" t="s">
        <v>0</v>
      </c>
      <c r="O15" s="258" t="s">
        <v>0</v>
      </c>
      <c r="P15" s="268" t="s">
        <v>0</v>
      </c>
      <c r="Q15" s="297" t="s">
        <v>0</v>
      </c>
      <c r="R15" s="297" t="s">
        <v>0</v>
      </c>
      <c r="S15" s="733" t="s">
        <v>0</v>
      </c>
      <c r="T15" s="572"/>
      <c r="U15" s="572"/>
      <c r="V15" s="651"/>
      <c r="W15" s="651"/>
    </row>
    <row r="16" spans="2:23" ht="12.75">
      <c r="B16" s="51" t="s">
        <v>117</v>
      </c>
      <c r="C16" s="214"/>
      <c r="D16" s="215"/>
      <c r="E16" s="216"/>
      <c r="F16" s="215"/>
      <c r="G16" s="216"/>
      <c r="H16" s="215"/>
      <c r="I16" s="217"/>
      <c r="J16" s="218"/>
      <c r="K16" s="219"/>
      <c r="L16" s="220"/>
      <c r="M16" s="216"/>
      <c r="N16" s="216"/>
      <c r="O16" s="221"/>
      <c r="P16" s="269"/>
      <c r="Q16" s="298"/>
      <c r="R16" s="298"/>
      <c r="S16" s="734"/>
      <c r="T16" s="573"/>
      <c r="U16" s="573"/>
      <c r="V16" s="651"/>
      <c r="W16" s="651"/>
    </row>
    <row r="17" spans="2:23" ht="12.75">
      <c r="B17" s="566" t="s">
        <v>127</v>
      </c>
      <c r="C17" s="361">
        <v>36.3</v>
      </c>
      <c r="D17" s="362">
        <v>87.6</v>
      </c>
      <c r="E17" s="361">
        <v>73.3</v>
      </c>
      <c r="F17" s="362">
        <v>24</v>
      </c>
      <c r="G17" s="361">
        <f>F43</f>
        <v>130.5</v>
      </c>
      <c r="H17" s="361">
        <f aca="true" t="shared" si="1" ref="H17:R17">G43</f>
        <v>25.199999999999932</v>
      </c>
      <c r="I17" s="361">
        <f t="shared" si="1"/>
        <v>43.39999999999992</v>
      </c>
      <c r="J17" s="361">
        <f t="shared" si="1"/>
        <v>49.39999999999992</v>
      </c>
      <c r="K17" s="361">
        <f t="shared" si="1"/>
        <v>182.4999999999999</v>
      </c>
      <c r="L17" s="361">
        <f t="shared" si="1"/>
        <v>185.29999999999984</v>
      </c>
      <c r="M17" s="361">
        <f t="shared" si="1"/>
        <v>75.49999999999983</v>
      </c>
      <c r="N17" s="361">
        <v>42.6</v>
      </c>
      <c r="O17" s="361">
        <f t="shared" si="1"/>
        <v>62.50000000000006</v>
      </c>
      <c r="P17" s="361">
        <f t="shared" si="1"/>
        <v>90.70000000000007</v>
      </c>
      <c r="Q17" s="361">
        <f t="shared" si="1"/>
        <v>58.10000000000011</v>
      </c>
      <c r="R17" s="365">
        <f t="shared" si="1"/>
        <v>52.10000000000008</v>
      </c>
      <c r="S17" s="735">
        <v>56.015</v>
      </c>
      <c r="T17" s="574">
        <v>50.73600000000005</v>
      </c>
      <c r="U17" s="574">
        <f>S43</f>
        <v>50.73600000000005</v>
      </c>
      <c r="V17" s="651">
        <f>(U17-T17)/T17</f>
        <v>0</v>
      </c>
      <c r="W17" s="651">
        <f>(U17-S17)/S17</f>
        <v>-0.09424261358564587</v>
      </c>
    </row>
    <row r="18" spans="1:23" s="21" customFormat="1" ht="12.75">
      <c r="A18" s="59"/>
      <c r="B18" s="23" t="s">
        <v>79</v>
      </c>
      <c r="C18" s="361">
        <v>381.3</v>
      </c>
      <c r="D18" s="362">
        <v>300.6</v>
      </c>
      <c r="E18" s="361">
        <v>177.8</v>
      </c>
      <c r="F18" s="362">
        <v>393</v>
      </c>
      <c r="G18" s="361">
        <v>171.2</v>
      </c>
      <c r="H18" s="362">
        <v>214</v>
      </c>
      <c r="I18" s="361">
        <v>215.8</v>
      </c>
      <c r="J18" s="362">
        <v>367.9</v>
      </c>
      <c r="K18" s="363">
        <v>249.9</v>
      </c>
      <c r="L18" s="364">
        <v>107.8</v>
      </c>
      <c r="M18" s="361">
        <v>166</v>
      </c>
      <c r="N18" s="361">
        <v>250.7</v>
      </c>
      <c r="O18" s="365">
        <v>279.3</v>
      </c>
      <c r="P18" s="366">
        <v>189.8</v>
      </c>
      <c r="Q18" s="365">
        <v>163.7</v>
      </c>
      <c r="R18" s="365">
        <v>133.2</v>
      </c>
      <c r="S18" s="735">
        <v>145.604</v>
      </c>
      <c r="T18" s="574">
        <v>229.52</v>
      </c>
      <c r="U18" s="574">
        <f>U13</f>
        <v>229.52</v>
      </c>
      <c r="V18" s="651">
        <f>(U18-T18)/T18</f>
        <v>0</v>
      </c>
      <c r="W18" s="651">
        <f>(U18-S18)/S18</f>
        <v>0.576330320595588</v>
      </c>
    </row>
    <row r="19" spans="2:23" ht="13.5" thickBot="1">
      <c r="B19" s="26" t="s">
        <v>29</v>
      </c>
      <c r="C19" s="367">
        <v>2.3</v>
      </c>
      <c r="D19" s="368">
        <v>0</v>
      </c>
      <c r="E19" s="367">
        <v>53</v>
      </c>
      <c r="F19" s="368">
        <v>0</v>
      </c>
      <c r="G19" s="367">
        <v>0.4</v>
      </c>
      <c r="H19" s="368">
        <v>75.1</v>
      </c>
      <c r="I19" s="367">
        <v>28.8</v>
      </c>
      <c r="J19" s="368">
        <v>5.4</v>
      </c>
      <c r="K19" s="369">
        <v>5</v>
      </c>
      <c r="L19" s="369">
        <v>9.9</v>
      </c>
      <c r="M19" s="370">
        <v>31.7</v>
      </c>
      <c r="N19" s="371">
        <v>0</v>
      </c>
      <c r="O19" s="372">
        <v>4</v>
      </c>
      <c r="P19" s="373">
        <v>0</v>
      </c>
      <c r="Q19" s="372">
        <v>57.8</v>
      </c>
      <c r="R19" s="372">
        <v>55</v>
      </c>
      <c r="S19" s="736">
        <v>50.033</v>
      </c>
      <c r="T19" s="575">
        <v>8.725</v>
      </c>
      <c r="U19" s="575">
        <v>8.725</v>
      </c>
      <c r="V19" s="651">
        <f>(U19-T19)/T19</f>
        <v>0</v>
      </c>
      <c r="W19" s="651">
        <f>(U19-S19)/S19</f>
        <v>-0.825615094037935</v>
      </c>
    </row>
    <row r="20" spans="2:23" ht="13.5" thickBot="1">
      <c r="B20" s="28" t="s">
        <v>118</v>
      </c>
      <c r="C20" s="374">
        <f aca="true" t="shared" si="2" ref="C20:I20">(C17+C18+C19)</f>
        <v>419.90000000000003</v>
      </c>
      <c r="D20" s="375">
        <f t="shared" si="2"/>
        <v>388.20000000000005</v>
      </c>
      <c r="E20" s="374">
        <f t="shared" si="2"/>
        <v>304.1</v>
      </c>
      <c r="F20" s="375">
        <f t="shared" si="2"/>
        <v>417</v>
      </c>
      <c r="G20" s="374">
        <f t="shared" si="2"/>
        <v>302.09999999999997</v>
      </c>
      <c r="H20" s="375">
        <f t="shared" si="2"/>
        <v>314.29999999999995</v>
      </c>
      <c r="I20" s="374">
        <f t="shared" si="2"/>
        <v>287.99999999999994</v>
      </c>
      <c r="J20" s="375">
        <f>(J17+J18+J19)</f>
        <v>422.6999999999999</v>
      </c>
      <c r="K20" s="376">
        <f>(K17+K18+K19)</f>
        <v>437.39999999999986</v>
      </c>
      <c r="L20" s="376">
        <f>(L17+L18+L19)</f>
        <v>302.99999999999983</v>
      </c>
      <c r="M20" s="374">
        <f>(M17+M18+M19)</f>
        <v>273.1999999999998</v>
      </c>
      <c r="N20" s="374">
        <f aca="true" t="shared" si="3" ref="N20:S20">SUM(N17:N19)</f>
        <v>293.3</v>
      </c>
      <c r="O20" s="377">
        <f t="shared" si="3"/>
        <v>345.80000000000007</v>
      </c>
      <c r="P20" s="378">
        <f t="shared" si="3"/>
        <v>280.5000000000001</v>
      </c>
      <c r="Q20" s="377">
        <f t="shared" si="3"/>
        <v>279.6000000000001</v>
      </c>
      <c r="R20" s="377">
        <f t="shared" si="3"/>
        <v>240.30000000000007</v>
      </c>
      <c r="S20" s="737">
        <f t="shared" si="3"/>
        <v>251.65200000000004</v>
      </c>
      <c r="T20" s="576">
        <v>288.9810000000001</v>
      </c>
      <c r="U20" s="576">
        <f>SUM(U17:U19)</f>
        <v>288.9810000000001</v>
      </c>
      <c r="V20" s="651">
        <f>(U20-T20)/T20</f>
        <v>0</v>
      </c>
      <c r="W20" s="651">
        <f>(U20-S20)/S20</f>
        <v>0.1483357970530735</v>
      </c>
    </row>
    <row r="21" spans="2:23" ht="12.75">
      <c r="B21" s="27"/>
      <c r="C21" s="379"/>
      <c r="D21" s="380"/>
      <c r="E21" s="379"/>
      <c r="F21" s="380"/>
      <c r="G21" s="381"/>
      <c r="H21" s="382"/>
      <c r="I21" s="381"/>
      <c r="J21" s="382"/>
      <c r="K21" s="383"/>
      <c r="L21" s="383"/>
      <c r="M21" s="381"/>
      <c r="N21" s="384"/>
      <c r="O21" s="385"/>
      <c r="P21" s="386"/>
      <c r="Q21" s="385"/>
      <c r="R21" s="385"/>
      <c r="S21" s="738"/>
      <c r="T21" s="577"/>
      <c r="U21" s="577"/>
      <c r="V21" s="651"/>
      <c r="W21" s="651"/>
    </row>
    <row r="22" spans="2:23" ht="12.75">
      <c r="B22" s="24" t="s">
        <v>119</v>
      </c>
      <c r="C22" s="387"/>
      <c r="D22" s="388"/>
      <c r="E22" s="387"/>
      <c r="F22" s="388"/>
      <c r="G22" s="361"/>
      <c r="H22" s="362"/>
      <c r="I22" s="361"/>
      <c r="J22" s="362"/>
      <c r="K22" s="363"/>
      <c r="L22" s="363"/>
      <c r="M22" s="361"/>
      <c r="N22" s="361"/>
      <c r="O22" s="365"/>
      <c r="P22" s="366"/>
      <c r="Q22" s="365"/>
      <c r="R22" s="365"/>
      <c r="S22" s="735"/>
      <c r="T22" s="574"/>
      <c r="U22" s="574"/>
      <c r="V22" s="651"/>
      <c r="W22" s="651"/>
    </row>
    <row r="23" spans="2:23" ht="12.75">
      <c r="B23" s="23" t="s">
        <v>28</v>
      </c>
      <c r="C23" s="361"/>
      <c r="D23" s="362"/>
      <c r="E23" s="361"/>
      <c r="F23" s="362"/>
      <c r="G23" s="361"/>
      <c r="H23" s="362"/>
      <c r="I23" s="361"/>
      <c r="J23" s="362"/>
      <c r="K23" s="363"/>
      <c r="L23" s="363"/>
      <c r="M23" s="361"/>
      <c r="N23" s="361"/>
      <c r="O23" s="365"/>
      <c r="P23" s="366"/>
      <c r="Q23" s="365"/>
      <c r="R23" s="365"/>
      <c r="S23" s="735"/>
      <c r="T23" s="574"/>
      <c r="U23" s="574"/>
      <c r="V23" s="651"/>
      <c r="W23" s="651"/>
    </row>
    <row r="24" spans="2:26" ht="12.75">
      <c r="B24" s="23" t="s">
        <v>93</v>
      </c>
      <c r="C24" s="361">
        <v>36.3</v>
      </c>
      <c r="D24" s="362">
        <v>38.9</v>
      </c>
      <c r="E24" s="361">
        <v>28.3</v>
      </c>
      <c r="F24" s="362">
        <v>32.8</v>
      </c>
      <c r="G24" s="361">
        <v>28.7</v>
      </c>
      <c r="H24" s="362">
        <v>20.5</v>
      </c>
      <c r="I24" s="361">
        <v>21.1</v>
      </c>
      <c r="J24" s="362">
        <v>25.6</v>
      </c>
      <c r="K24" s="363">
        <v>24.6</v>
      </c>
      <c r="L24" s="364">
        <v>25.4</v>
      </c>
      <c r="M24" s="361">
        <v>24.9</v>
      </c>
      <c r="N24" s="361">
        <v>22.2</v>
      </c>
      <c r="O24" s="365">
        <v>20.1</v>
      </c>
      <c r="P24" s="366">
        <v>18.4</v>
      </c>
      <c r="Q24" s="365">
        <v>16.1</v>
      </c>
      <c r="R24" s="365">
        <v>12.8</v>
      </c>
      <c r="S24" s="735">
        <v>12.093</v>
      </c>
      <c r="T24" s="574">
        <v>13.2</v>
      </c>
      <c r="U24" s="574">
        <v>13</v>
      </c>
      <c r="V24" s="651">
        <f aca="true" t="shared" si="4" ref="V24:V32">(U24-T24)/T24</f>
        <v>-0.015151515151515098</v>
      </c>
      <c r="W24" s="651">
        <f>(U24-S24)/S24</f>
        <v>0.0750020673116679</v>
      </c>
      <c r="Z24" s="222"/>
    </row>
    <row r="25" spans="2:26" ht="12.75">
      <c r="B25" s="23" t="s">
        <v>94</v>
      </c>
      <c r="C25" s="361">
        <v>87.3</v>
      </c>
      <c r="D25" s="362">
        <v>81.5</v>
      </c>
      <c r="E25" s="361">
        <v>85.9</v>
      </c>
      <c r="F25" s="362">
        <v>90.4</v>
      </c>
      <c r="G25" s="361">
        <v>84.3</v>
      </c>
      <c r="H25" s="362">
        <v>74.9</v>
      </c>
      <c r="I25" s="361">
        <v>73.9</v>
      </c>
      <c r="J25" s="362">
        <v>76.4</v>
      </c>
      <c r="K25" s="363">
        <v>78.3</v>
      </c>
      <c r="L25" s="364">
        <v>70.1</v>
      </c>
      <c r="M25" s="361">
        <v>65.2</v>
      </c>
      <c r="N25" s="361">
        <v>64.1</v>
      </c>
      <c r="O25" s="365">
        <v>71.8</v>
      </c>
      <c r="P25" s="366">
        <v>63.6</v>
      </c>
      <c r="Q25" s="365">
        <v>65.2</v>
      </c>
      <c r="R25" s="365">
        <v>56.7</v>
      </c>
      <c r="S25" s="735">
        <v>56.928</v>
      </c>
      <c r="T25" s="574">
        <v>58.7</v>
      </c>
      <c r="U25" s="574">
        <v>58.7</v>
      </c>
      <c r="V25" s="651">
        <f t="shared" si="4"/>
        <v>0</v>
      </c>
      <c r="W25" s="651">
        <f>(U25-S25)/S25</f>
        <v>0.031127037661607744</v>
      </c>
      <c r="Z25" s="222"/>
    </row>
    <row r="26" spans="2:26" ht="12.75">
      <c r="B26" s="23" t="s">
        <v>95</v>
      </c>
      <c r="C26" s="361">
        <v>55.8</v>
      </c>
      <c r="D26" s="362">
        <v>56.2</v>
      </c>
      <c r="E26" s="361">
        <v>59.7</v>
      </c>
      <c r="F26" s="362">
        <v>63</v>
      </c>
      <c r="G26" s="361">
        <v>76.9</v>
      </c>
      <c r="H26" s="362">
        <v>79</v>
      </c>
      <c r="I26" s="361">
        <v>73.9</v>
      </c>
      <c r="J26" s="362">
        <v>77</v>
      </c>
      <c r="K26" s="363">
        <v>88</v>
      </c>
      <c r="L26" s="363">
        <v>86.1</v>
      </c>
      <c r="M26" s="361">
        <v>95.1</v>
      </c>
      <c r="N26" s="361">
        <v>91.1</v>
      </c>
      <c r="O26" s="365">
        <v>92.3</v>
      </c>
      <c r="P26" s="366">
        <v>100.3</v>
      </c>
      <c r="Q26" s="365">
        <v>100.9</v>
      </c>
      <c r="R26" s="365">
        <v>88.5</v>
      </c>
      <c r="S26" s="735">
        <v>96.409</v>
      </c>
      <c r="T26" s="574">
        <v>99.5</v>
      </c>
      <c r="U26" s="574">
        <v>99.5</v>
      </c>
      <c r="V26" s="651">
        <f t="shared" si="4"/>
        <v>0</v>
      </c>
      <c r="W26" s="651">
        <f>(U26-S26)/S26</f>
        <v>0.03206132207573975</v>
      </c>
      <c r="Z26" s="403"/>
    </row>
    <row r="27" spans="2:23" ht="12.75">
      <c r="B27" s="23" t="s">
        <v>37</v>
      </c>
      <c r="C27" s="361">
        <f>SUM(C24:C26)</f>
        <v>179.39999999999998</v>
      </c>
      <c r="D27" s="361">
        <f aca="true" t="shared" si="5" ref="D27:R27">SUM(D24:D26)</f>
        <v>176.60000000000002</v>
      </c>
      <c r="E27" s="361">
        <f t="shared" si="5"/>
        <v>173.9</v>
      </c>
      <c r="F27" s="361">
        <f t="shared" si="5"/>
        <v>186.2</v>
      </c>
      <c r="G27" s="361">
        <f t="shared" si="5"/>
        <v>189.9</v>
      </c>
      <c r="H27" s="361">
        <f t="shared" si="5"/>
        <v>174.4</v>
      </c>
      <c r="I27" s="361">
        <f t="shared" si="5"/>
        <v>168.9</v>
      </c>
      <c r="J27" s="361">
        <f t="shared" si="5"/>
        <v>179</v>
      </c>
      <c r="K27" s="361">
        <f t="shared" si="5"/>
        <v>190.9</v>
      </c>
      <c r="L27" s="361">
        <f t="shared" si="5"/>
        <v>181.6</v>
      </c>
      <c r="M27" s="361">
        <f t="shared" si="5"/>
        <v>185.2</v>
      </c>
      <c r="N27" s="361">
        <f t="shared" si="5"/>
        <v>177.39999999999998</v>
      </c>
      <c r="O27" s="361">
        <f t="shared" si="5"/>
        <v>184.2</v>
      </c>
      <c r="P27" s="361">
        <f t="shared" si="5"/>
        <v>182.3</v>
      </c>
      <c r="Q27" s="361">
        <f t="shared" si="5"/>
        <v>182.20000000000002</v>
      </c>
      <c r="R27" s="365">
        <f t="shared" si="5"/>
        <v>158</v>
      </c>
      <c r="S27" s="735">
        <f>SUM(S24:S26)</f>
        <v>165.43</v>
      </c>
      <c r="T27" s="574">
        <v>171.4</v>
      </c>
      <c r="U27" s="574">
        <f>SUM(U24:U26)</f>
        <v>171.2</v>
      </c>
      <c r="V27" s="651">
        <f t="shared" si="4"/>
        <v>-0.00116686114352402</v>
      </c>
      <c r="W27" s="651">
        <f>(U27-S27)/S27</f>
        <v>0.03487880070120281</v>
      </c>
    </row>
    <row r="28" spans="2:23" ht="12.75">
      <c r="B28" s="23" t="s">
        <v>30</v>
      </c>
      <c r="C28" s="361"/>
      <c r="D28" s="362"/>
      <c r="E28" s="361"/>
      <c r="F28" s="362"/>
      <c r="G28" s="361"/>
      <c r="H28" s="362"/>
      <c r="I28" s="361"/>
      <c r="J28" s="362"/>
      <c r="K28" s="363"/>
      <c r="L28" s="363"/>
      <c r="M28" s="361"/>
      <c r="N28" s="361"/>
      <c r="O28" s="365"/>
      <c r="P28" s="366"/>
      <c r="Q28" s="365"/>
      <c r="R28" s="365"/>
      <c r="S28" s="735"/>
      <c r="T28" s="574"/>
      <c r="U28" s="574"/>
      <c r="V28" s="651"/>
      <c r="W28" s="651"/>
    </row>
    <row r="29" spans="2:23" ht="12.75">
      <c r="B29" s="23" t="s">
        <v>96</v>
      </c>
      <c r="C29" s="361">
        <v>26</v>
      </c>
      <c r="D29" s="362">
        <v>8.5</v>
      </c>
      <c r="E29" s="361">
        <v>3.5</v>
      </c>
      <c r="F29" s="362">
        <v>1.9</v>
      </c>
      <c r="G29" s="361">
        <v>1.4</v>
      </c>
      <c r="H29" s="362">
        <v>1.2</v>
      </c>
      <c r="I29" s="361">
        <v>1.4</v>
      </c>
      <c r="J29" s="362">
        <v>0.9</v>
      </c>
      <c r="K29" s="363">
        <v>1.3</v>
      </c>
      <c r="L29" s="364">
        <v>0.8</v>
      </c>
      <c r="M29" s="361">
        <v>0.8</v>
      </c>
      <c r="N29" s="361">
        <v>1</v>
      </c>
      <c r="O29" s="365">
        <v>0.9</v>
      </c>
      <c r="P29" s="366">
        <v>1.1</v>
      </c>
      <c r="Q29" s="365">
        <v>1.1</v>
      </c>
      <c r="R29" s="365">
        <v>0.9</v>
      </c>
      <c r="S29" s="735">
        <v>0.924</v>
      </c>
      <c r="T29" s="574">
        <v>1</v>
      </c>
      <c r="U29" s="574">
        <v>1</v>
      </c>
      <c r="V29" s="651">
        <f t="shared" si="4"/>
        <v>0</v>
      </c>
      <c r="W29" s="651">
        <f>(U29-S29)/S29</f>
        <v>0.0822510822510822</v>
      </c>
    </row>
    <row r="30" spans="2:23" ht="12.75">
      <c r="B30" s="23" t="s">
        <v>97</v>
      </c>
      <c r="C30" s="361">
        <v>22.7</v>
      </c>
      <c r="D30" s="362">
        <v>26.6</v>
      </c>
      <c r="E30" s="361">
        <v>14.3</v>
      </c>
      <c r="F30" s="362">
        <v>10.8</v>
      </c>
      <c r="G30" s="361">
        <v>8.9</v>
      </c>
      <c r="H30" s="362">
        <v>14.2</v>
      </c>
      <c r="I30" s="361">
        <v>4.8</v>
      </c>
      <c r="J30" s="362">
        <v>6</v>
      </c>
      <c r="K30" s="363">
        <v>8</v>
      </c>
      <c r="L30" s="364">
        <v>5.9</v>
      </c>
      <c r="M30" s="361">
        <v>6.2</v>
      </c>
      <c r="N30" s="361">
        <v>5.3</v>
      </c>
      <c r="O30" s="365">
        <v>5.3</v>
      </c>
      <c r="P30" s="366">
        <v>4.8</v>
      </c>
      <c r="Q30" s="365">
        <v>5.5</v>
      </c>
      <c r="R30" s="365">
        <v>4.2</v>
      </c>
      <c r="S30" s="735">
        <v>3.548</v>
      </c>
      <c r="T30" s="574">
        <v>3.6</v>
      </c>
      <c r="U30" s="574">
        <v>3.6</v>
      </c>
      <c r="V30" s="651">
        <f t="shared" si="4"/>
        <v>0</v>
      </c>
      <c r="W30" s="651">
        <f>(U30-S30)/S30</f>
        <v>0.014656144306651648</v>
      </c>
    </row>
    <row r="31" spans="2:23" ht="12.75">
      <c r="B31" s="23" t="s">
        <v>98</v>
      </c>
      <c r="C31" s="361">
        <v>15</v>
      </c>
      <c r="D31" s="362">
        <v>22.9</v>
      </c>
      <c r="E31" s="361">
        <v>18.6</v>
      </c>
      <c r="F31" s="362">
        <v>10.6</v>
      </c>
      <c r="G31" s="361">
        <v>5.9</v>
      </c>
      <c r="H31" s="362">
        <v>6.5</v>
      </c>
      <c r="I31" s="361">
        <v>3.9</v>
      </c>
      <c r="J31" s="362">
        <v>3.1</v>
      </c>
      <c r="K31" s="363">
        <v>2.7</v>
      </c>
      <c r="L31" s="364">
        <v>1.3</v>
      </c>
      <c r="M31" s="361">
        <v>3.8</v>
      </c>
      <c r="N31" s="361">
        <v>3.4</v>
      </c>
      <c r="O31" s="365">
        <v>1.7</v>
      </c>
      <c r="P31" s="366">
        <v>2.7</v>
      </c>
      <c r="Q31" s="365">
        <v>0.5</v>
      </c>
      <c r="R31" s="365">
        <v>0.6</v>
      </c>
      <c r="S31" s="735">
        <v>0.634</v>
      </c>
      <c r="T31" s="574">
        <v>0.7</v>
      </c>
      <c r="U31" s="574">
        <v>1.1</v>
      </c>
      <c r="V31" s="651">
        <f t="shared" si="4"/>
        <v>0.5714285714285716</v>
      </c>
      <c r="W31" s="651">
        <f>(U31-S31)/S31</f>
        <v>0.7350157728706626</v>
      </c>
    </row>
    <row r="32" spans="2:23" ht="12.75">
      <c r="B32" s="23" t="s">
        <v>32</v>
      </c>
      <c r="C32" s="361">
        <f aca="true" t="shared" si="6" ref="C32:I32">SUM(C29:C31)</f>
        <v>63.7</v>
      </c>
      <c r="D32" s="362">
        <f t="shared" si="6"/>
        <v>58</v>
      </c>
      <c r="E32" s="361">
        <f t="shared" si="6"/>
        <v>36.400000000000006</v>
      </c>
      <c r="F32" s="362">
        <f t="shared" si="6"/>
        <v>23.3</v>
      </c>
      <c r="G32" s="361">
        <f t="shared" si="6"/>
        <v>16.200000000000003</v>
      </c>
      <c r="H32" s="362">
        <f t="shared" si="6"/>
        <v>21.9</v>
      </c>
      <c r="I32" s="361">
        <f t="shared" si="6"/>
        <v>10.1</v>
      </c>
      <c r="J32" s="362">
        <f aca="true" t="shared" si="7" ref="J32:O32">SUM(J29:J31)</f>
        <v>10</v>
      </c>
      <c r="K32" s="363">
        <f t="shared" si="7"/>
        <v>12</v>
      </c>
      <c r="L32" s="363">
        <f t="shared" si="7"/>
        <v>8</v>
      </c>
      <c r="M32" s="361">
        <f t="shared" si="7"/>
        <v>10.8</v>
      </c>
      <c r="N32" s="361">
        <f t="shared" si="7"/>
        <v>9.7</v>
      </c>
      <c r="O32" s="365">
        <f t="shared" si="7"/>
        <v>7.9</v>
      </c>
      <c r="P32" s="366">
        <f>SUM(P29:P31)</f>
        <v>8.600000000000001</v>
      </c>
      <c r="Q32" s="365">
        <f>SUM(Q29:Q31)</f>
        <v>7.1</v>
      </c>
      <c r="R32" s="365">
        <f>SUM(R29:R31)</f>
        <v>5.7</v>
      </c>
      <c r="S32" s="365">
        <f>SUM(S29:S31)</f>
        <v>5.106000000000001</v>
      </c>
      <c r="T32" s="574">
        <v>5.3</v>
      </c>
      <c r="U32" s="574">
        <v>5.3</v>
      </c>
      <c r="V32" s="651">
        <f t="shared" si="4"/>
        <v>0</v>
      </c>
      <c r="W32" s="651">
        <f>(U32-S32)/S32</f>
        <v>0.03799451625538563</v>
      </c>
    </row>
    <row r="33" spans="2:23" ht="12.75">
      <c r="B33" s="23" t="s">
        <v>99</v>
      </c>
      <c r="C33" s="361"/>
      <c r="D33" s="362"/>
      <c r="E33" s="361"/>
      <c r="F33" s="362"/>
      <c r="G33" s="361"/>
      <c r="H33" s="362"/>
      <c r="I33" s="361"/>
      <c r="J33" s="362"/>
      <c r="K33" s="363"/>
      <c r="L33" s="363"/>
      <c r="M33" s="361"/>
      <c r="N33" s="361"/>
      <c r="O33" s="365"/>
      <c r="P33" s="366"/>
      <c r="Q33" s="365"/>
      <c r="R33" s="365">
        <v>0</v>
      </c>
      <c r="S33" s="735">
        <v>0</v>
      </c>
      <c r="T33" s="574">
        <v>0</v>
      </c>
      <c r="U33" s="574">
        <v>0</v>
      </c>
      <c r="V33" s="651"/>
      <c r="W33" s="651"/>
    </row>
    <row r="34" spans="2:23" ht="12.75">
      <c r="B34" s="435" t="s">
        <v>78</v>
      </c>
      <c r="C34" s="361"/>
      <c r="D34" s="362"/>
      <c r="E34" s="361"/>
      <c r="F34" s="362"/>
      <c r="G34" s="361"/>
      <c r="H34" s="362"/>
      <c r="I34" s="361"/>
      <c r="J34" s="362"/>
      <c r="K34" s="363"/>
      <c r="L34" s="363"/>
      <c r="M34" s="361"/>
      <c r="N34" s="361"/>
      <c r="O34" s="365"/>
      <c r="P34" s="366"/>
      <c r="Q34" s="365"/>
      <c r="R34" s="365"/>
      <c r="S34" s="735"/>
      <c r="T34" s="574"/>
      <c r="U34" s="574"/>
      <c r="V34" s="651"/>
      <c r="W34" s="651"/>
    </row>
    <row r="35" spans="2:23" ht="12.75">
      <c r="B35" s="435" t="s">
        <v>100</v>
      </c>
      <c r="C35" s="361"/>
      <c r="D35" s="362"/>
      <c r="E35" s="361"/>
      <c r="F35" s="362">
        <v>32.2</v>
      </c>
      <c r="G35" s="361">
        <v>16.2</v>
      </c>
      <c r="H35" s="362">
        <v>10.6</v>
      </c>
      <c r="I35" s="361">
        <v>3.9</v>
      </c>
      <c r="J35" s="362">
        <v>6.7</v>
      </c>
      <c r="K35" s="363">
        <v>3.7</v>
      </c>
      <c r="L35" s="363">
        <v>3.1</v>
      </c>
      <c r="M35" s="361">
        <v>3.7</v>
      </c>
      <c r="N35" s="361">
        <v>5</v>
      </c>
      <c r="O35" s="365">
        <v>6.7</v>
      </c>
      <c r="P35" s="366">
        <v>8.2</v>
      </c>
      <c r="Q35" s="365">
        <v>6.7</v>
      </c>
      <c r="R35" s="365">
        <v>6</v>
      </c>
      <c r="S35" s="735">
        <v>5.577</v>
      </c>
      <c r="T35" s="574">
        <v>6.8</v>
      </c>
      <c r="U35" s="574">
        <v>7</v>
      </c>
      <c r="V35" s="651">
        <f>(U35-T35)/T35</f>
        <v>0.02941176470588238</v>
      </c>
      <c r="W35" s="651">
        <f>(U35-S35)/S35</f>
        <v>0.2551551013089475</v>
      </c>
    </row>
    <row r="36" spans="2:23" ht="12.75">
      <c r="B36" s="435" t="s">
        <v>101</v>
      </c>
      <c r="C36" s="361"/>
      <c r="D36" s="362"/>
      <c r="E36" s="361">
        <v>33.5</v>
      </c>
      <c r="F36" s="362">
        <v>6.3</v>
      </c>
      <c r="G36" s="361">
        <v>1.9</v>
      </c>
      <c r="H36" s="362">
        <v>0.9</v>
      </c>
      <c r="I36" s="361">
        <v>1.4</v>
      </c>
      <c r="J36" s="362">
        <v>1.4</v>
      </c>
      <c r="K36" s="363">
        <v>2.1</v>
      </c>
      <c r="L36" s="363">
        <v>1.9</v>
      </c>
      <c r="M36" s="361">
        <v>2.4</v>
      </c>
      <c r="N36" s="361">
        <v>1.7</v>
      </c>
      <c r="O36" s="365">
        <v>4.3</v>
      </c>
      <c r="P36" s="366">
        <v>5.2</v>
      </c>
      <c r="Q36" s="365">
        <v>4.4</v>
      </c>
      <c r="R36" s="365">
        <v>2.5</v>
      </c>
      <c r="S36" s="735">
        <v>2.707</v>
      </c>
      <c r="T36" s="574">
        <v>3</v>
      </c>
      <c r="U36" s="574">
        <v>3</v>
      </c>
      <c r="V36" s="651">
        <f>(U36-T36)/T36</f>
        <v>0</v>
      </c>
      <c r="W36" s="651">
        <f>(U36-S36)/S36</f>
        <v>0.10823790173623944</v>
      </c>
    </row>
    <row r="37" spans="2:23" ht="12.75">
      <c r="B37" s="435" t="s">
        <v>102</v>
      </c>
      <c r="C37" s="361">
        <v>23.4</v>
      </c>
      <c r="D37" s="362">
        <v>22.2</v>
      </c>
      <c r="E37" s="361">
        <v>15</v>
      </c>
      <c r="F37" s="362">
        <v>-1.4</v>
      </c>
      <c r="G37" s="361">
        <v>4.5</v>
      </c>
      <c r="H37" s="362">
        <v>-3.1</v>
      </c>
      <c r="I37" s="361">
        <v>5.5</v>
      </c>
      <c r="J37" s="362">
        <v>5.5</v>
      </c>
      <c r="K37" s="363">
        <v>5.2</v>
      </c>
      <c r="L37" s="363">
        <v>5.1</v>
      </c>
      <c r="M37" s="361">
        <v>1.9</v>
      </c>
      <c r="N37" s="361">
        <v>-0.1</v>
      </c>
      <c r="O37" s="365"/>
      <c r="P37" s="366">
        <v>-6.1</v>
      </c>
      <c r="Q37" s="365">
        <v>1.9</v>
      </c>
      <c r="R37" s="365">
        <v>0.8</v>
      </c>
      <c r="S37" s="735">
        <v>3.143</v>
      </c>
      <c r="T37" s="574">
        <v>0</v>
      </c>
      <c r="U37" s="574">
        <v>0</v>
      </c>
      <c r="V37" s="651"/>
      <c r="W37" s="651"/>
    </row>
    <row r="38" spans="2:23" ht="12.75">
      <c r="B38" s="360" t="s">
        <v>104</v>
      </c>
      <c r="C38" s="361">
        <f>SUM(C35:C37)</f>
        <v>23.4</v>
      </c>
      <c r="D38" s="361">
        <f aca="true" t="shared" si="8" ref="D38:S38">SUM(D35:D37)</f>
        <v>22.2</v>
      </c>
      <c r="E38" s="361">
        <f t="shared" si="8"/>
        <v>48.5</v>
      </c>
      <c r="F38" s="361">
        <f t="shared" si="8"/>
        <v>37.1</v>
      </c>
      <c r="G38" s="361">
        <f t="shared" si="8"/>
        <v>22.599999999999998</v>
      </c>
      <c r="H38" s="361">
        <f t="shared" si="8"/>
        <v>8.4</v>
      </c>
      <c r="I38" s="361">
        <f t="shared" si="8"/>
        <v>10.8</v>
      </c>
      <c r="J38" s="361">
        <f t="shared" si="8"/>
        <v>13.6</v>
      </c>
      <c r="K38" s="361">
        <f t="shared" si="8"/>
        <v>11</v>
      </c>
      <c r="L38" s="361">
        <f t="shared" si="8"/>
        <v>10.1</v>
      </c>
      <c r="M38" s="361">
        <f t="shared" si="8"/>
        <v>8</v>
      </c>
      <c r="N38" s="361">
        <f t="shared" si="8"/>
        <v>6.6000000000000005</v>
      </c>
      <c r="O38" s="361">
        <f t="shared" si="8"/>
        <v>11</v>
      </c>
      <c r="P38" s="361">
        <f t="shared" si="8"/>
        <v>7.299999999999999</v>
      </c>
      <c r="Q38" s="361">
        <f t="shared" si="8"/>
        <v>13.000000000000002</v>
      </c>
      <c r="R38" s="365">
        <f t="shared" si="8"/>
        <v>9.3</v>
      </c>
      <c r="S38" s="365">
        <f t="shared" si="8"/>
        <v>11.427</v>
      </c>
      <c r="T38" s="574">
        <v>11.497</v>
      </c>
      <c r="U38" s="574">
        <v>11.497</v>
      </c>
      <c r="V38" s="651">
        <f>(U38-T38)/T38</f>
        <v>0</v>
      </c>
      <c r="W38" s="651">
        <f>(U38-S38)/S38</f>
        <v>0.006125842303316731</v>
      </c>
    </row>
    <row r="39" spans="2:23" ht="12.75">
      <c r="B39" s="23" t="s">
        <v>31</v>
      </c>
      <c r="C39" s="361">
        <f>C27+C32+C33+C38</f>
        <v>266.49999999999994</v>
      </c>
      <c r="D39" s="361">
        <f aca="true" t="shared" si="9" ref="D39:R39">D27+D32+D33+D38</f>
        <v>256.8</v>
      </c>
      <c r="E39" s="361">
        <f t="shared" si="9"/>
        <v>258.8</v>
      </c>
      <c r="F39" s="361">
        <f t="shared" si="9"/>
        <v>246.6</v>
      </c>
      <c r="G39" s="361">
        <f t="shared" si="9"/>
        <v>228.70000000000002</v>
      </c>
      <c r="H39" s="361">
        <f t="shared" si="9"/>
        <v>204.70000000000002</v>
      </c>
      <c r="I39" s="361">
        <f t="shared" si="9"/>
        <v>189.8</v>
      </c>
      <c r="J39" s="361">
        <f t="shared" si="9"/>
        <v>202.6</v>
      </c>
      <c r="K39" s="361">
        <f t="shared" si="9"/>
        <v>213.9</v>
      </c>
      <c r="L39" s="361">
        <f t="shared" si="9"/>
        <v>199.7</v>
      </c>
      <c r="M39" s="361">
        <f t="shared" si="9"/>
        <v>204</v>
      </c>
      <c r="N39" s="361">
        <f t="shared" si="9"/>
        <v>193.69999999999996</v>
      </c>
      <c r="O39" s="361">
        <f t="shared" si="9"/>
        <v>203.1</v>
      </c>
      <c r="P39" s="361">
        <f t="shared" si="9"/>
        <v>198.20000000000002</v>
      </c>
      <c r="Q39" s="361">
        <f t="shared" si="9"/>
        <v>202.3</v>
      </c>
      <c r="R39" s="365">
        <f t="shared" si="9"/>
        <v>173</v>
      </c>
      <c r="S39" s="365">
        <f>S27+S32+S33+S38</f>
        <v>181.963</v>
      </c>
      <c r="T39" s="574">
        <v>188.197</v>
      </c>
      <c r="U39" s="574">
        <f>U27+U32+U33+U38</f>
        <v>187.997</v>
      </c>
      <c r="V39" s="651">
        <f>(U39-T39)/T39</f>
        <v>-0.0010627161963261296</v>
      </c>
      <c r="W39" s="651">
        <f>(U39-S39)/S39</f>
        <v>0.0331605875919831</v>
      </c>
    </row>
    <row r="40" spans="2:23" ht="13.5" thickBot="1">
      <c r="B40" s="23" t="s">
        <v>103</v>
      </c>
      <c r="C40" s="361">
        <v>57.1</v>
      </c>
      <c r="D40" s="362">
        <v>58.1</v>
      </c>
      <c r="E40" s="361">
        <v>23.45</v>
      </c>
      <c r="F40" s="362">
        <v>39.9</v>
      </c>
      <c r="G40" s="361">
        <v>48.2</v>
      </c>
      <c r="H40" s="362">
        <v>66.2</v>
      </c>
      <c r="I40" s="361">
        <v>48.8</v>
      </c>
      <c r="J40" s="362">
        <v>37.6</v>
      </c>
      <c r="K40" s="363">
        <v>38.2</v>
      </c>
      <c r="L40" s="363">
        <v>27.8</v>
      </c>
      <c r="M40" s="361">
        <v>27.3</v>
      </c>
      <c r="N40" s="361">
        <v>37.1</v>
      </c>
      <c r="O40" s="365">
        <v>52</v>
      </c>
      <c r="P40" s="366">
        <v>24.2</v>
      </c>
      <c r="Q40" s="365">
        <v>25.2</v>
      </c>
      <c r="R40" s="365">
        <v>19</v>
      </c>
      <c r="S40" s="735">
        <v>18.953</v>
      </c>
      <c r="T40" s="574">
        <v>25</v>
      </c>
      <c r="U40" s="574">
        <v>25</v>
      </c>
      <c r="V40" s="651">
        <f>(U40-T40)/T40</f>
        <v>0</v>
      </c>
      <c r="W40" s="651">
        <f>(U40-S40)/S40</f>
        <v>0.3190523927610405</v>
      </c>
    </row>
    <row r="41" spans="2:23" ht="13.5" thickBot="1">
      <c r="B41" s="28" t="s">
        <v>33</v>
      </c>
      <c r="C41" s="374">
        <f>C39+C40</f>
        <v>323.59999999999997</v>
      </c>
      <c r="D41" s="374">
        <f aca="true" t="shared" si="10" ref="D41:S41">D39+D40</f>
        <v>314.90000000000003</v>
      </c>
      <c r="E41" s="374">
        <f t="shared" si="10"/>
        <v>282.25</v>
      </c>
      <c r="F41" s="374">
        <f t="shared" si="10"/>
        <v>286.5</v>
      </c>
      <c r="G41" s="374">
        <f t="shared" si="10"/>
        <v>276.90000000000003</v>
      </c>
      <c r="H41" s="374">
        <f t="shared" si="10"/>
        <v>270.90000000000003</v>
      </c>
      <c r="I41" s="374">
        <f t="shared" si="10"/>
        <v>238.60000000000002</v>
      </c>
      <c r="J41" s="374">
        <f t="shared" si="10"/>
        <v>240.2</v>
      </c>
      <c r="K41" s="374">
        <f t="shared" si="10"/>
        <v>252.10000000000002</v>
      </c>
      <c r="L41" s="374">
        <f t="shared" si="10"/>
        <v>227.5</v>
      </c>
      <c r="M41" s="374">
        <f t="shared" si="10"/>
        <v>231.3</v>
      </c>
      <c r="N41" s="374">
        <f t="shared" si="10"/>
        <v>230.79999999999995</v>
      </c>
      <c r="O41" s="374">
        <f t="shared" si="10"/>
        <v>255.1</v>
      </c>
      <c r="P41" s="374">
        <f t="shared" si="10"/>
        <v>222.4</v>
      </c>
      <c r="Q41" s="374">
        <f t="shared" si="10"/>
        <v>227.5</v>
      </c>
      <c r="R41" s="377">
        <f t="shared" si="10"/>
        <v>192</v>
      </c>
      <c r="S41" s="377">
        <f t="shared" si="10"/>
        <v>200.916</v>
      </c>
      <c r="T41" s="576">
        <v>213.197</v>
      </c>
      <c r="U41" s="576">
        <f>U39+U40</f>
        <v>212.997</v>
      </c>
      <c r="V41" s="651">
        <f>(U41-T41)/T41</f>
        <v>-0.0009380995042143587</v>
      </c>
      <c r="W41" s="651">
        <f>(U41-S41)/S41</f>
        <v>0.06012960640267583</v>
      </c>
    </row>
    <row r="42" spans="1:23" s="1" customFormat="1" ht="13.5" thickBot="1">
      <c r="A42" s="59"/>
      <c r="B42" s="45"/>
      <c r="C42" s="389"/>
      <c r="D42" s="390"/>
      <c r="E42" s="389"/>
      <c r="F42" s="390"/>
      <c r="G42" s="389"/>
      <c r="H42" s="390"/>
      <c r="I42" s="389"/>
      <c r="J42" s="390"/>
      <c r="K42" s="391"/>
      <c r="L42" s="391"/>
      <c r="M42" s="389"/>
      <c r="N42" s="392"/>
      <c r="O42" s="393"/>
      <c r="P42" s="394"/>
      <c r="Q42" s="393"/>
      <c r="R42" s="393"/>
      <c r="S42" s="739"/>
      <c r="T42" s="578"/>
      <c r="U42" s="578"/>
      <c r="V42" s="651"/>
      <c r="W42" s="651"/>
    </row>
    <row r="43" spans="2:23" ht="13.5" thickBot="1">
      <c r="B43" s="28" t="s">
        <v>124</v>
      </c>
      <c r="C43" s="374">
        <f>(C20-C41)</f>
        <v>96.30000000000007</v>
      </c>
      <c r="D43" s="374">
        <f aca="true" t="shared" si="11" ref="D43:S43">(D20-D41)</f>
        <v>73.30000000000001</v>
      </c>
      <c r="E43" s="374">
        <f t="shared" si="11"/>
        <v>21.850000000000023</v>
      </c>
      <c r="F43" s="374">
        <f t="shared" si="11"/>
        <v>130.5</v>
      </c>
      <c r="G43" s="374">
        <f t="shared" si="11"/>
        <v>25.199999999999932</v>
      </c>
      <c r="H43" s="374">
        <f t="shared" si="11"/>
        <v>43.39999999999992</v>
      </c>
      <c r="I43" s="374">
        <f t="shared" si="11"/>
        <v>49.39999999999992</v>
      </c>
      <c r="J43" s="374">
        <f t="shared" si="11"/>
        <v>182.4999999999999</v>
      </c>
      <c r="K43" s="374">
        <f t="shared" si="11"/>
        <v>185.29999999999984</v>
      </c>
      <c r="L43" s="374">
        <f t="shared" si="11"/>
        <v>75.49999999999983</v>
      </c>
      <c r="M43" s="374">
        <f t="shared" si="11"/>
        <v>41.89999999999981</v>
      </c>
      <c r="N43" s="374">
        <f t="shared" si="11"/>
        <v>62.50000000000006</v>
      </c>
      <c r="O43" s="374">
        <f t="shared" si="11"/>
        <v>90.70000000000007</v>
      </c>
      <c r="P43" s="374">
        <f t="shared" si="11"/>
        <v>58.10000000000011</v>
      </c>
      <c r="Q43" s="374">
        <f t="shared" si="11"/>
        <v>52.10000000000008</v>
      </c>
      <c r="R43" s="377">
        <f t="shared" si="11"/>
        <v>48.30000000000007</v>
      </c>
      <c r="S43" s="377">
        <f t="shared" si="11"/>
        <v>50.73600000000005</v>
      </c>
      <c r="T43" s="576">
        <v>75.7840000000001</v>
      </c>
      <c r="U43" s="576">
        <f>(U20-U41)</f>
        <v>75.9840000000001</v>
      </c>
      <c r="V43" s="651">
        <f>(U43-T43)/T43</f>
        <v>0.002639079489074057</v>
      </c>
      <c r="W43" s="651">
        <f>(U43-S43)/S43</f>
        <v>0.4976348155156107</v>
      </c>
    </row>
    <row r="44" spans="2:23" ht="12.75">
      <c r="B44" s="27"/>
      <c r="C44" s="379"/>
      <c r="D44" s="380"/>
      <c r="E44" s="379"/>
      <c r="F44" s="382"/>
      <c r="G44" s="381"/>
      <c r="H44" s="382"/>
      <c r="I44" s="381"/>
      <c r="J44" s="382"/>
      <c r="K44" s="383"/>
      <c r="L44" s="383"/>
      <c r="M44" s="381"/>
      <c r="N44" s="379"/>
      <c r="O44" s="395"/>
      <c r="P44" s="396"/>
      <c r="Q44" s="395"/>
      <c r="R44" s="395"/>
      <c r="S44" s="740"/>
      <c r="T44" s="579"/>
      <c r="U44" s="579"/>
      <c r="V44" s="651"/>
      <c r="W44" s="651"/>
    </row>
    <row r="45" spans="2:23" ht="12.75">
      <c r="B45" s="23" t="s">
        <v>20</v>
      </c>
      <c r="C45" s="361">
        <f aca="true" t="shared" si="12" ref="C45:M45">(C39/12*1.5)</f>
        <v>33.31249999999999</v>
      </c>
      <c r="D45" s="362">
        <f t="shared" si="12"/>
        <v>32.1</v>
      </c>
      <c r="E45" s="361">
        <f t="shared" si="12"/>
        <v>32.35</v>
      </c>
      <c r="F45" s="362">
        <f t="shared" si="12"/>
        <v>30.825000000000003</v>
      </c>
      <c r="G45" s="361">
        <f t="shared" si="12"/>
        <v>28.5875</v>
      </c>
      <c r="H45" s="362">
        <f t="shared" si="12"/>
        <v>25.5875</v>
      </c>
      <c r="I45" s="361">
        <f t="shared" si="12"/>
        <v>23.725</v>
      </c>
      <c r="J45" s="362">
        <f t="shared" si="12"/>
        <v>25.325</v>
      </c>
      <c r="K45" s="363">
        <f t="shared" si="12"/>
        <v>26.737499999999997</v>
      </c>
      <c r="L45" s="363">
        <f t="shared" si="12"/>
        <v>24.9625</v>
      </c>
      <c r="M45" s="361">
        <f t="shared" si="12"/>
        <v>25.5</v>
      </c>
      <c r="N45" s="361">
        <f aca="true" t="shared" si="13" ref="N45:S45">(N27/12*1.5)</f>
        <v>22.174999999999997</v>
      </c>
      <c r="O45" s="365">
        <f t="shared" si="13"/>
        <v>23.025</v>
      </c>
      <c r="P45" s="366">
        <f t="shared" si="13"/>
        <v>22.7875</v>
      </c>
      <c r="Q45" s="365">
        <f t="shared" si="13"/>
        <v>22.775000000000002</v>
      </c>
      <c r="R45" s="365">
        <f t="shared" si="13"/>
        <v>19.75</v>
      </c>
      <c r="S45" s="365">
        <f t="shared" si="13"/>
        <v>20.67875</v>
      </c>
      <c r="T45" s="574">
        <v>21.425</v>
      </c>
      <c r="U45" s="574">
        <f>(U27/12*1.5)</f>
        <v>21.4</v>
      </c>
      <c r="V45" s="651">
        <f>(U45-T45)/T45</f>
        <v>-0.00116686114352402</v>
      </c>
      <c r="W45" s="651">
        <f>(U45-S45)/S45</f>
        <v>0.03487880070120281</v>
      </c>
    </row>
    <row r="46" spans="2:23" ht="12.75">
      <c r="B46" s="23"/>
      <c r="C46" s="361"/>
      <c r="D46" s="362"/>
      <c r="E46" s="361"/>
      <c r="F46" s="362"/>
      <c r="G46" s="361"/>
      <c r="H46" s="362"/>
      <c r="I46" s="361"/>
      <c r="J46" s="362"/>
      <c r="K46" s="363"/>
      <c r="L46" s="363"/>
      <c r="M46" s="361"/>
      <c r="N46" s="361"/>
      <c r="O46" s="365"/>
      <c r="P46" s="366"/>
      <c r="Q46" s="365"/>
      <c r="R46" s="365"/>
      <c r="S46" s="735"/>
      <c r="T46" s="574"/>
      <c r="U46" s="574"/>
      <c r="V46" s="651"/>
      <c r="W46" s="651"/>
    </row>
    <row r="47" spans="2:23" ht="13.5" thickBot="1">
      <c r="B47" s="25" t="s">
        <v>61</v>
      </c>
      <c r="C47" s="397">
        <f>C43-C45</f>
        <v>62.987500000000075</v>
      </c>
      <c r="D47" s="398"/>
      <c r="E47" s="397"/>
      <c r="F47" s="399"/>
      <c r="G47" s="371">
        <f aca="true" t="shared" si="14" ref="G47:O47">+G43-G45</f>
        <v>-3.387500000000067</v>
      </c>
      <c r="H47" s="399">
        <f t="shared" si="14"/>
        <v>17.812499999999922</v>
      </c>
      <c r="I47" s="371">
        <f t="shared" si="14"/>
        <v>25.67499999999992</v>
      </c>
      <c r="J47" s="399">
        <f t="shared" si="14"/>
        <v>157.1749999999999</v>
      </c>
      <c r="K47" s="400">
        <f t="shared" si="14"/>
        <v>158.56249999999983</v>
      </c>
      <c r="L47" s="400">
        <f t="shared" si="14"/>
        <v>50.53749999999983</v>
      </c>
      <c r="M47" s="371">
        <f t="shared" si="14"/>
        <v>16.399999999999807</v>
      </c>
      <c r="N47" s="397">
        <f t="shared" si="14"/>
        <v>40.32500000000006</v>
      </c>
      <c r="O47" s="401">
        <f t="shared" si="14"/>
        <v>67.67500000000007</v>
      </c>
      <c r="P47" s="402">
        <f aca="true" t="shared" si="15" ref="P47:U47">+P43-P45</f>
        <v>35.31250000000011</v>
      </c>
      <c r="Q47" s="509">
        <f t="shared" si="15"/>
        <v>29.325000000000077</v>
      </c>
      <c r="R47" s="509">
        <f t="shared" si="15"/>
        <v>28.550000000000068</v>
      </c>
      <c r="S47" s="509">
        <f t="shared" si="15"/>
        <v>30.057250000000046</v>
      </c>
      <c r="T47" s="582">
        <v>54.35900000000011</v>
      </c>
      <c r="U47" s="582">
        <f t="shared" si="15"/>
        <v>54.584000000000096</v>
      </c>
      <c r="V47" s="652">
        <f>(U47-T47)/T47</f>
        <v>0.004139148990967213</v>
      </c>
      <c r="W47" s="652">
        <f>(U47-S47)/S47</f>
        <v>0.8160011311746754</v>
      </c>
    </row>
    <row r="48" spans="2:23" ht="13.5" thickBot="1">
      <c r="B48" s="522"/>
      <c r="C48" s="522"/>
      <c r="D48" s="533"/>
      <c r="E48" s="533"/>
      <c r="F48" s="524"/>
      <c r="G48" s="525"/>
      <c r="H48" s="525"/>
      <c r="I48" s="525"/>
      <c r="J48" s="525"/>
      <c r="K48" s="525"/>
      <c r="L48" s="534"/>
      <c r="M48" s="525"/>
      <c r="N48" s="535"/>
      <c r="O48" s="669"/>
      <c r="P48" s="670"/>
      <c r="Q48" s="671"/>
      <c r="R48" s="671"/>
      <c r="S48" s="671"/>
      <c r="T48" s="567"/>
      <c r="U48" s="567"/>
      <c r="V48" s="748"/>
      <c r="W48" s="748"/>
    </row>
    <row r="49" spans="2:23" ht="25.5">
      <c r="B49" s="510" t="s">
        <v>82</v>
      </c>
      <c r="C49" s="529">
        <f>C43/C39</f>
        <v>0.3613508442776739</v>
      </c>
      <c r="D49" s="529">
        <f aca="true" t="shared" si="16" ref="D49:S49">D43/D39</f>
        <v>0.2854361370716511</v>
      </c>
      <c r="E49" s="529">
        <f t="shared" si="16"/>
        <v>0.08442812982998463</v>
      </c>
      <c r="F49" s="529">
        <f t="shared" si="16"/>
        <v>0.5291970802919708</v>
      </c>
      <c r="G49" s="529">
        <f t="shared" si="16"/>
        <v>0.11018801923917766</v>
      </c>
      <c r="H49" s="529">
        <f t="shared" si="16"/>
        <v>0.21201758671226145</v>
      </c>
      <c r="I49" s="529">
        <f t="shared" si="16"/>
        <v>0.26027397260273927</v>
      </c>
      <c r="J49" s="529">
        <f t="shared" si="16"/>
        <v>0.9007897334649551</v>
      </c>
      <c r="K49" s="529">
        <f t="shared" si="16"/>
        <v>0.8662926601215514</v>
      </c>
      <c r="L49" s="529">
        <f t="shared" si="16"/>
        <v>0.37806710065097565</v>
      </c>
      <c r="M49" s="529">
        <f t="shared" si="16"/>
        <v>0.20539215686274415</v>
      </c>
      <c r="N49" s="529">
        <f t="shared" si="16"/>
        <v>0.32266391326794047</v>
      </c>
      <c r="O49" s="675">
        <f t="shared" si="16"/>
        <v>0.4465780403742003</v>
      </c>
      <c r="P49" s="675">
        <f t="shared" si="16"/>
        <v>0.29313824419778056</v>
      </c>
      <c r="Q49" s="675">
        <f t="shared" si="16"/>
        <v>0.25753830944142403</v>
      </c>
      <c r="R49" s="741">
        <f t="shared" si="16"/>
        <v>0.2791907514450871</v>
      </c>
      <c r="S49" s="741">
        <f t="shared" si="16"/>
        <v>0.27882591515857647</v>
      </c>
      <c r="T49" s="676">
        <v>0.4026844211119205</v>
      </c>
      <c r="U49" s="752">
        <f>U43/U39</f>
        <v>0.4041766623935493</v>
      </c>
      <c r="V49" s="653">
        <f>(U49-T49)/T49</f>
        <v>0.0037057338287593924</v>
      </c>
      <c r="W49" s="754">
        <f>(U49-S49)/S49</f>
        <v>0.4495663438015875</v>
      </c>
    </row>
    <row r="50" spans="2:23" ht="26.25" thickBot="1">
      <c r="B50" s="498" t="s">
        <v>74</v>
      </c>
      <c r="C50" s="499">
        <f>C43/C41</f>
        <v>0.29758961681087787</v>
      </c>
      <c r="D50" s="499">
        <f aca="true" t="shared" si="17" ref="D50:P50">D43/D41</f>
        <v>0.23277230866941886</v>
      </c>
      <c r="E50" s="499">
        <f t="shared" si="17"/>
        <v>0.07741364038972551</v>
      </c>
      <c r="F50" s="499">
        <f t="shared" si="17"/>
        <v>0.45549738219895286</v>
      </c>
      <c r="G50" s="499">
        <f t="shared" si="17"/>
        <v>0.09100758396533018</v>
      </c>
      <c r="H50" s="499">
        <f t="shared" si="17"/>
        <v>0.1602067183462529</v>
      </c>
      <c r="I50" s="499">
        <f t="shared" si="17"/>
        <v>0.2070410729253978</v>
      </c>
      <c r="J50" s="499">
        <f t="shared" si="17"/>
        <v>0.7597835137385508</v>
      </c>
      <c r="K50" s="499">
        <f t="shared" si="17"/>
        <v>0.7350257834192774</v>
      </c>
      <c r="L50" s="499">
        <f t="shared" si="17"/>
        <v>0.33186813186813113</v>
      </c>
      <c r="M50" s="499">
        <f t="shared" si="17"/>
        <v>0.18115002161694685</v>
      </c>
      <c r="N50" s="499">
        <f t="shared" si="17"/>
        <v>0.27079722703639547</v>
      </c>
      <c r="O50" s="672">
        <f t="shared" si="17"/>
        <v>0.3555468443747553</v>
      </c>
      <c r="P50" s="673">
        <f t="shared" si="17"/>
        <v>0.2612410071942451</v>
      </c>
      <c r="Q50" s="674">
        <f>Q43/Q41</f>
        <v>0.22901098901098937</v>
      </c>
      <c r="R50" s="674">
        <f>R43/R41</f>
        <v>0.25156250000000036</v>
      </c>
      <c r="S50" s="742">
        <f>S43/S41</f>
        <v>0.2525234426327423</v>
      </c>
      <c r="T50" s="677">
        <v>0.3554646641369255</v>
      </c>
      <c r="U50" s="753">
        <f>U43/U41</f>
        <v>0.3567374188368854</v>
      </c>
      <c r="V50" s="652">
        <f>(U50-T50)/T50</f>
        <v>0.0035805378941115885</v>
      </c>
      <c r="W50" s="749">
        <f>(U50-S50)/S50</f>
        <v>0.4126903035917613</v>
      </c>
    </row>
    <row r="51" spans="2:23" ht="12.75">
      <c r="B51" s="518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3"/>
      <c r="Q51" s="504"/>
      <c r="R51" s="504"/>
      <c r="S51" s="504"/>
      <c r="T51" s="504"/>
      <c r="U51" s="504"/>
      <c r="V51" s="504"/>
      <c r="W51" s="521"/>
    </row>
    <row r="52" spans="2:23" ht="12.75">
      <c r="B52" s="58" t="s">
        <v>110</v>
      </c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3"/>
      <c r="Q52" s="504"/>
      <c r="R52" s="504"/>
      <c r="S52" s="504"/>
      <c r="T52" s="504"/>
      <c r="U52" s="504"/>
      <c r="V52" s="504"/>
      <c r="W52" s="505"/>
    </row>
    <row r="53" spans="2:13" ht="12.75">
      <c r="B53" s="58" t="s">
        <v>109</v>
      </c>
      <c r="C53" s="38"/>
      <c r="D53" s="43"/>
      <c r="E53" s="43"/>
      <c r="F53" s="8"/>
      <c r="G53" s="22"/>
      <c r="H53" s="22"/>
      <c r="I53" s="22"/>
      <c r="J53" s="22"/>
      <c r="K53" s="22"/>
      <c r="L53" s="48"/>
      <c r="M53" s="22"/>
    </row>
    <row r="54" spans="2:13" ht="12.75">
      <c r="B54" s="58"/>
      <c r="C54" s="38"/>
      <c r="D54" s="43"/>
      <c r="E54" s="43"/>
      <c r="F54" s="8"/>
      <c r="G54" s="22"/>
      <c r="H54" s="22"/>
      <c r="I54" s="22"/>
      <c r="J54" s="22"/>
      <c r="K54" s="22"/>
      <c r="L54" s="48"/>
      <c r="M54" s="22"/>
    </row>
    <row r="55" spans="2:6" ht="12.75">
      <c r="B55" s="1" t="s">
        <v>113</v>
      </c>
      <c r="C55" s="1"/>
      <c r="D55" s="3"/>
      <c r="E55" s="3"/>
      <c r="F55" s="4"/>
    </row>
    <row r="56" spans="2:14" ht="12.75">
      <c r="B56" s="1"/>
      <c r="C56" s="1"/>
      <c r="D56" s="3"/>
      <c r="E56" s="3"/>
      <c r="F56" s="4"/>
      <c r="N56" s="37"/>
    </row>
    <row r="57" spans="2:18" s="1" customFormat="1" ht="1.5" customHeight="1">
      <c r="B57" s="768"/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62"/>
    </row>
    <row r="58" spans="1:17" s="1" customFormat="1" ht="55.5" customHeight="1">
      <c r="A58" s="59">
        <v>1</v>
      </c>
      <c r="B58" s="768" t="s">
        <v>160</v>
      </c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</row>
    <row r="59" spans="2:18" s="1" customFormat="1" ht="12.75"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62"/>
    </row>
    <row r="60" spans="1:18" s="1" customFormat="1" ht="12.75">
      <c r="A60" s="59">
        <v>2</v>
      </c>
      <c r="B60" s="768" t="s">
        <v>150</v>
      </c>
      <c r="C60" s="768"/>
      <c r="D60" s="768"/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8"/>
      <c r="R60" s="62"/>
    </row>
    <row r="61" spans="2:18" s="1" customFormat="1" ht="12.75"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62"/>
    </row>
    <row r="62" spans="1:18" s="1" customFormat="1" ht="12.75">
      <c r="A62" s="59">
        <v>3</v>
      </c>
      <c r="B62" s="774" t="s">
        <v>151</v>
      </c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62"/>
    </row>
    <row r="63" spans="1:18" s="1" customFormat="1" ht="12.75">
      <c r="A63" s="59"/>
      <c r="B63" s="421"/>
      <c r="C63" s="421"/>
      <c r="D63" s="434"/>
      <c r="E63" s="434"/>
      <c r="F63" s="434"/>
      <c r="G63" s="421"/>
      <c r="H63" s="428"/>
      <c r="L63" s="62"/>
      <c r="N63" s="421"/>
      <c r="Q63" s="62"/>
      <c r="R63" s="62"/>
    </row>
    <row r="64" spans="1:17" ht="12.75">
      <c r="A64" s="59">
        <v>4</v>
      </c>
      <c r="B64" s="764" t="s">
        <v>139</v>
      </c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  <c r="N64" s="764"/>
      <c r="O64" s="764"/>
      <c r="P64" s="764"/>
      <c r="Q64" s="764"/>
    </row>
    <row r="65" spans="2:17" ht="12.75">
      <c r="B65" s="678"/>
      <c r="C65" s="678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</row>
    <row r="66" spans="1:17" ht="12.75">
      <c r="A66" s="59">
        <v>5</v>
      </c>
      <c r="B66" s="764" t="s">
        <v>152</v>
      </c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</row>
    <row r="67" spans="2:18" s="1" customFormat="1" ht="12.75">
      <c r="B67" s="777"/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62"/>
    </row>
    <row r="68" spans="1:17" ht="12.75">
      <c r="A68" s="59">
        <v>6</v>
      </c>
      <c r="B68" s="777" t="s">
        <v>72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</row>
    <row r="69" spans="2:17" ht="12.75">
      <c r="B69" s="764"/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</row>
    <row r="70" spans="1:17" ht="12.75">
      <c r="A70" s="59">
        <v>7</v>
      </c>
      <c r="B70" s="768" t="s">
        <v>161</v>
      </c>
      <c r="C70" s="769"/>
      <c r="D70" s="769"/>
      <c r="E70" s="769"/>
      <c r="F70" s="769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</row>
    <row r="75" spans="2:18" ht="12.75">
      <c r="B75" s="421" t="s">
        <v>116</v>
      </c>
      <c r="C75" s="13"/>
      <c r="D75" s="13"/>
      <c r="E75" s="13"/>
      <c r="F75" s="13"/>
      <c r="G75" s="9"/>
      <c r="H75" s="9"/>
      <c r="I75" s="9"/>
      <c r="J75" s="9"/>
      <c r="K75" s="22"/>
      <c r="L75" s="7"/>
      <c r="Q75" s="7"/>
      <c r="R75" s="7"/>
    </row>
    <row r="76" spans="2:18" ht="22.5">
      <c r="B76" s="539" t="str">
        <f>B2</f>
        <v>THE SUPPLY AND DEMAND FOR  SORGHUM IN SOUTH AFRICA</v>
      </c>
      <c r="L76" s="7"/>
      <c r="Q76" s="7"/>
      <c r="R76" s="7"/>
    </row>
    <row r="77" spans="2:22" ht="15.75" thickBot="1">
      <c r="B77" s="545"/>
      <c r="C77" s="540" t="str">
        <f>C6</f>
        <v> 1997/98</v>
      </c>
      <c r="D77" s="540" t="str">
        <f aca="true" t="shared" si="18" ref="D77:S77">D6</f>
        <v> 1998/99</v>
      </c>
      <c r="E77" s="540" t="str">
        <f t="shared" si="18"/>
        <v> 1999/00</v>
      </c>
      <c r="F77" s="540" t="str">
        <f t="shared" si="18"/>
        <v> 2000/01</v>
      </c>
      <c r="G77" s="540" t="str">
        <f t="shared" si="18"/>
        <v> 2001/02</v>
      </c>
      <c r="H77" s="540" t="str">
        <f t="shared" si="18"/>
        <v>2002/03</v>
      </c>
      <c r="I77" s="540" t="str">
        <f t="shared" si="18"/>
        <v>2003/04</v>
      </c>
      <c r="J77" s="540" t="str">
        <f t="shared" si="18"/>
        <v>2004/05</v>
      </c>
      <c r="K77" s="540" t="str">
        <f t="shared" si="18"/>
        <v>2005/06</v>
      </c>
      <c r="L77" s="540" t="str">
        <f t="shared" si="18"/>
        <v>2006/07</v>
      </c>
      <c r="M77" s="540" t="str">
        <f t="shared" si="18"/>
        <v>2007/08</v>
      </c>
      <c r="N77" s="540" t="str">
        <f t="shared" si="18"/>
        <v>2008/09</v>
      </c>
      <c r="O77" s="540" t="str">
        <f t="shared" si="18"/>
        <v>2009/10</v>
      </c>
      <c r="P77" s="540" t="str">
        <f t="shared" si="18"/>
        <v>2010/11</v>
      </c>
      <c r="Q77" s="540" t="str">
        <f t="shared" si="18"/>
        <v>2011/12</v>
      </c>
      <c r="R77" s="540" t="str">
        <f t="shared" si="18"/>
        <v>2012/13</v>
      </c>
      <c r="S77" s="540" t="str">
        <f t="shared" si="18"/>
        <v>2013/14</v>
      </c>
      <c r="T77" s="540"/>
      <c r="U77" s="540"/>
      <c r="V77" s="540"/>
    </row>
    <row r="78" spans="2:22" ht="15">
      <c r="B78" s="541" t="str">
        <f>B16</f>
        <v>Kommersiële aanbod / Commercial Supply</v>
      </c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</row>
    <row r="79" spans="2:22" ht="15">
      <c r="B79" s="559" t="str">
        <f>B17</f>
        <v>Beginvoorraad (1 Maart) / Opening stocks (1 March)</v>
      </c>
      <c r="C79" s="552">
        <f aca="true" t="shared" si="19" ref="C79:Q79">C17</f>
        <v>36.3</v>
      </c>
      <c r="D79" s="552">
        <f t="shared" si="19"/>
        <v>87.6</v>
      </c>
      <c r="E79" s="552">
        <f t="shared" si="19"/>
        <v>73.3</v>
      </c>
      <c r="F79" s="552">
        <f t="shared" si="19"/>
        <v>24</v>
      </c>
      <c r="G79" s="552">
        <f t="shared" si="19"/>
        <v>130.5</v>
      </c>
      <c r="H79" s="552">
        <f t="shared" si="19"/>
        <v>25.199999999999932</v>
      </c>
      <c r="I79" s="552">
        <f t="shared" si="19"/>
        <v>43.39999999999992</v>
      </c>
      <c r="J79" s="552">
        <f t="shared" si="19"/>
        <v>49.39999999999992</v>
      </c>
      <c r="K79" s="552">
        <f t="shared" si="19"/>
        <v>182.4999999999999</v>
      </c>
      <c r="L79" s="552">
        <f t="shared" si="19"/>
        <v>185.29999999999984</v>
      </c>
      <c r="M79" s="552">
        <f t="shared" si="19"/>
        <v>75.49999999999983</v>
      </c>
      <c r="N79" s="552">
        <f t="shared" si="19"/>
        <v>42.6</v>
      </c>
      <c r="O79" s="552">
        <f t="shared" si="19"/>
        <v>62.50000000000006</v>
      </c>
      <c r="P79" s="552">
        <f t="shared" si="19"/>
        <v>90.70000000000007</v>
      </c>
      <c r="Q79" s="552">
        <f t="shared" si="19"/>
        <v>58.10000000000011</v>
      </c>
      <c r="R79" s="552">
        <f aca="true" t="shared" si="20" ref="C79:S82">R17</f>
        <v>52.10000000000008</v>
      </c>
      <c r="S79" s="552">
        <f t="shared" si="20"/>
        <v>56.015</v>
      </c>
      <c r="T79" s="552"/>
      <c r="U79" s="552"/>
      <c r="V79" s="552"/>
    </row>
    <row r="80" spans="2:22" ht="15">
      <c r="B80" s="559" t="str">
        <f>B18</f>
        <v>Kommersiële lewerings / Commercial deliveries </v>
      </c>
      <c r="C80" s="552">
        <f t="shared" si="20"/>
        <v>381.3</v>
      </c>
      <c r="D80" s="552">
        <f t="shared" si="20"/>
        <v>300.6</v>
      </c>
      <c r="E80" s="552">
        <f t="shared" si="20"/>
        <v>177.8</v>
      </c>
      <c r="F80" s="552">
        <f t="shared" si="20"/>
        <v>393</v>
      </c>
      <c r="G80" s="552">
        <f t="shared" si="20"/>
        <v>171.2</v>
      </c>
      <c r="H80" s="552">
        <f t="shared" si="20"/>
        <v>214</v>
      </c>
      <c r="I80" s="552">
        <f t="shared" si="20"/>
        <v>215.8</v>
      </c>
      <c r="J80" s="552">
        <f t="shared" si="20"/>
        <v>367.9</v>
      </c>
      <c r="K80" s="552">
        <f t="shared" si="20"/>
        <v>249.9</v>
      </c>
      <c r="L80" s="552">
        <f t="shared" si="20"/>
        <v>107.8</v>
      </c>
      <c r="M80" s="552">
        <f t="shared" si="20"/>
        <v>166</v>
      </c>
      <c r="N80" s="552">
        <f t="shared" si="20"/>
        <v>250.7</v>
      </c>
      <c r="O80" s="552">
        <f t="shared" si="20"/>
        <v>279.3</v>
      </c>
      <c r="P80" s="552">
        <f t="shared" si="20"/>
        <v>189.8</v>
      </c>
      <c r="Q80" s="552">
        <f t="shared" si="20"/>
        <v>163.7</v>
      </c>
      <c r="R80" s="552">
        <f t="shared" si="20"/>
        <v>133.2</v>
      </c>
      <c r="S80" s="552">
        <f t="shared" si="20"/>
        <v>145.604</v>
      </c>
      <c r="T80" s="552"/>
      <c r="U80" s="552"/>
      <c r="V80" s="552"/>
    </row>
    <row r="81" spans="2:22" ht="15">
      <c r="B81" s="559" t="str">
        <f>B19</f>
        <v>Invoere / Imports </v>
      </c>
      <c r="C81" s="552">
        <f t="shared" si="20"/>
        <v>2.3</v>
      </c>
      <c r="D81" s="552">
        <f t="shared" si="20"/>
        <v>0</v>
      </c>
      <c r="E81" s="552">
        <f t="shared" si="20"/>
        <v>53</v>
      </c>
      <c r="F81" s="552">
        <f t="shared" si="20"/>
        <v>0</v>
      </c>
      <c r="G81" s="552">
        <f t="shared" si="20"/>
        <v>0.4</v>
      </c>
      <c r="H81" s="552">
        <f t="shared" si="20"/>
        <v>75.1</v>
      </c>
      <c r="I81" s="552">
        <f t="shared" si="20"/>
        <v>28.8</v>
      </c>
      <c r="J81" s="552">
        <f t="shared" si="20"/>
        <v>5.4</v>
      </c>
      <c r="K81" s="552">
        <f t="shared" si="20"/>
        <v>5</v>
      </c>
      <c r="L81" s="552">
        <f t="shared" si="20"/>
        <v>9.9</v>
      </c>
      <c r="M81" s="552">
        <f t="shared" si="20"/>
        <v>31.7</v>
      </c>
      <c r="N81" s="552">
        <f t="shared" si="20"/>
        <v>0</v>
      </c>
      <c r="O81" s="552">
        <f t="shared" si="20"/>
        <v>4</v>
      </c>
      <c r="P81" s="552">
        <f t="shared" si="20"/>
        <v>0</v>
      </c>
      <c r="Q81" s="552">
        <f t="shared" si="20"/>
        <v>57.8</v>
      </c>
      <c r="R81" s="552">
        <f t="shared" si="20"/>
        <v>55</v>
      </c>
      <c r="S81" s="552">
        <f t="shared" si="20"/>
        <v>50.033</v>
      </c>
      <c r="T81" s="552"/>
      <c r="U81" s="552"/>
      <c r="V81" s="552"/>
    </row>
    <row r="82" spans="2:22" ht="15">
      <c r="B82" s="552" t="str">
        <f>B20</f>
        <v>Totale  kommersiële aanbod / Total commercial supply</v>
      </c>
      <c r="C82" s="552">
        <f t="shared" si="20"/>
        <v>419.90000000000003</v>
      </c>
      <c r="D82" s="552">
        <f t="shared" si="20"/>
        <v>388.20000000000005</v>
      </c>
      <c r="E82" s="552">
        <f t="shared" si="20"/>
        <v>304.1</v>
      </c>
      <c r="F82" s="552">
        <f t="shared" si="20"/>
        <v>417</v>
      </c>
      <c r="G82" s="552">
        <f t="shared" si="20"/>
        <v>302.09999999999997</v>
      </c>
      <c r="H82" s="552">
        <f t="shared" si="20"/>
        <v>314.29999999999995</v>
      </c>
      <c r="I82" s="552">
        <f t="shared" si="20"/>
        <v>287.99999999999994</v>
      </c>
      <c r="J82" s="552">
        <f t="shared" si="20"/>
        <v>422.6999999999999</v>
      </c>
      <c r="K82" s="552">
        <f t="shared" si="20"/>
        <v>437.39999999999986</v>
      </c>
      <c r="L82" s="552">
        <f t="shared" si="20"/>
        <v>302.99999999999983</v>
      </c>
      <c r="M82" s="552">
        <f t="shared" si="20"/>
        <v>273.1999999999998</v>
      </c>
      <c r="N82" s="552">
        <f t="shared" si="20"/>
        <v>293.3</v>
      </c>
      <c r="O82" s="552">
        <f t="shared" si="20"/>
        <v>345.80000000000007</v>
      </c>
      <c r="P82" s="552">
        <f t="shared" si="20"/>
        <v>280.5000000000001</v>
      </c>
      <c r="Q82" s="552">
        <f t="shared" si="20"/>
        <v>279.6000000000001</v>
      </c>
      <c r="R82" s="552">
        <f t="shared" si="20"/>
        <v>240.30000000000007</v>
      </c>
      <c r="S82" s="552">
        <f t="shared" si="20"/>
        <v>251.65200000000004</v>
      </c>
      <c r="T82" s="552"/>
      <c r="U82" s="552"/>
      <c r="V82" s="552"/>
    </row>
    <row r="83" spans="2:22" ht="15">
      <c r="B83" s="550" t="str">
        <f>B22</f>
        <v>Kommersiële vraag / Commercial Demand</v>
      </c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</row>
    <row r="84" spans="2:22" ht="15">
      <c r="B84" s="559" t="str">
        <f>B23</f>
        <v>Voedselverbruik / Food consumption</v>
      </c>
      <c r="C84" s="557">
        <f aca="true" t="shared" si="21" ref="C84:O85">C28</f>
        <v>0</v>
      </c>
      <c r="D84" s="557">
        <f t="shared" si="21"/>
        <v>0</v>
      </c>
      <c r="E84" s="557">
        <f t="shared" si="21"/>
        <v>0</v>
      </c>
      <c r="F84" s="557">
        <f t="shared" si="21"/>
        <v>0</v>
      </c>
      <c r="G84" s="557">
        <f t="shared" si="21"/>
        <v>0</v>
      </c>
      <c r="H84" s="557">
        <f t="shared" si="21"/>
        <v>0</v>
      </c>
      <c r="I84" s="557">
        <f t="shared" si="21"/>
        <v>0</v>
      </c>
      <c r="J84" s="557">
        <f t="shared" si="21"/>
        <v>0</v>
      </c>
      <c r="K84" s="557">
        <f t="shared" si="21"/>
        <v>0</v>
      </c>
      <c r="L84" s="557">
        <f t="shared" si="21"/>
        <v>0</v>
      </c>
      <c r="M84" s="557">
        <f t="shared" si="21"/>
        <v>0</v>
      </c>
      <c r="N84" s="557">
        <f t="shared" si="21"/>
        <v>0</v>
      </c>
      <c r="O84" s="557">
        <f t="shared" si="21"/>
        <v>0</v>
      </c>
      <c r="P84" s="557">
        <f>P27</f>
        <v>182.3</v>
      </c>
      <c r="Q84" s="557">
        <f>Q27</f>
        <v>182.20000000000002</v>
      </c>
      <c r="R84" s="557">
        <f>R27</f>
        <v>158</v>
      </c>
      <c r="S84" s="557">
        <f>S27</f>
        <v>165.43</v>
      </c>
      <c r="T84" s="557"/>
      <c r="U84" s="557"/>
      <c r="V84" s="557"/>
    </row>
    <row r="85" spans="2:22" ht="15">
      <c r="B85" s="546" t="str">
        <f>B28</f>
        <v>Voerverbruik / Feed consumption  </v>
      </c>
      <c r="C85" s="558">
        <f t="shared" si="21"/>
        <v>26</v>
      </c>
      <c r="D85" s="558">
        <f t="shared" si="21"/>
        <v>8.5</v>
      </c>
      <c r="E85" s="558">
        <f t="shared" si="21"/>
        <v>3.5</v>
      </c>
      <c r="F85" s="558">
        <f t="shared" si="21"/>
        <v>1.9</v>
      </c>
      <c r="G85" s="558">
        <f t="shared" si="21"/>
        <v>1.4</v>
      </c>
      <c r="H85" s="558">
        <f t="shared" si="21"/>
        <v>1.2</v>
      </c>
      <c r="I85" s="558">
        <f t="shared" si="21"/>
        <v>1.4</v>
      </c>
      <c r="J85" s="558">
        <f t="shared" si="21"/>
        <v>0.9</v>
      </c>
      <c r="K85" s="558">
        <f t="shared" si="21"/>
        <v>1.3</v>
      </c>
      <c r="L85" s="558">
        <f t="shared" si="21"/>
        <v>0.8</v>
      </c>
      <c r="M85" s="558">
        <f t="shared" si="21"/>
        <v>0.8</v>
      </c>
      <c r="N85" s="558">
        <f t="shared" si="21"/>
        <v>1</v>
      </c>
      <c r="O85" s="558">
        <f t="shared" si="21"/>
        <v>0.9</v>
      </c>
      <c r="P85" s="558">
        <f>P32</f>
        <v>8.600000000000001</v>
      </c>
      <c r="Q85" s="558">
        <f>Q32</f>
        <v>7.1</v>
      </c>
      <c r="R85" s="558">
        <f>R32</f>
        <v>5.7</v>
      </c>
      <c r="S85" s="558">
        <f>S32</f>
        <v>5.106000000000001</v>
      </c>
      <c r="T85" s="558"/>
      <c r="U85" s="558"/>
      <c r="V85" s="558"/>
    </row>
    <row r="86" spans="2:22" ht="15">
      <c r="B86" s="546" t="str">
        <f>B34</f>
        <v>Ander verbruik / Other consumption</v>
      </c>
      <c r="C86" s="558">
        <f>C36</f>
        <v>0</v>
      </c>
      <c r="D86" s="558">
        <f aca="true" t="shared" si="22" ref="D86:O86">D36</f>
        <v>0</v>
      </c>
      <c r="E86" s="558">
        <f t="shared" si="22"/>
        <v>33.5</v>
      </c>
      <c r="F86" s="558">
        <f t="shared" si="22"/>
        <v>6.3</v>
      </c>
      <c r="G86" s="558">
        <f t="shared" si="22"/>
        <v>1.9</v>
      </c>
      <c r="H86" s="558">
        <f t="shared" si="22"/>
        <v>0.9</v>
      </c>
      <c r="I86" s="558">
        <f t="shared" si="22"/>
        <v>1.4</v>
      </c>
      <c r="J86" s="558">
        <f t="shared" si="22"/>
        <v>1.4</v>
      </c>
      <c r="K86" s="558">
        <f t="shared" si="22"/>
        <v>2.1</v>
      </c>
      <c r="L86" s="558">
        <f t="shared" si="22"/>
        <v>1.9</v>
      </c>
      <c r="M86" s="558">
        <f t="shared" si="22"/>
        <v>2.4</v>
      </c>
      <c r="N86" s="558">
        <f t="shared" si="22"/>
        <v>1.7</v>
      </c>
      <c r="O86" s="558">
        <f t="shared" si="22"/>
        <v>4.3</v>
      </c>
      <c r="P86" s="558">
        <f>P38</f>
        <v>7.299999999999999</v>
      </c>
      <c r="Q86" s="558">
        <f>Q38</f>
        <v>13.000000000000002</v>
      </c>
      <c r="R86" s="558">
        <f>R38</f>
        <v>9.3</v>
      </c>
      <c r="S86" s="558">
        <f>S38</f>
        <v>11.427</v>
      </c>
      <c r="T86" s="558"/>
      <c r="U86" s="558"/>
      <c r="V86" s="558"/>
    </row>
    <row r="87" spans="2:22" ht="15">
      <c r="B87" s="547" t="str">
        <f>B40</f>
        <v>  Uitvoere / Exports </v>
      </c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>
        <f>P40</f>
        <v>24.2</v>
      </c>
      <c r="Q87" s="558">
        <f>Q40</f>
        <v>25.2</v>
      </c>
      <c r="R87" s="558">
        <f>R40</f>
        <v>19</v>
      </c>
      <c r="S87" s="558">
        <f>S40</f>
        <v>18.953</v>
      </c>
      <c r="T87" s="558"/>
      <c r="U87" s="558"/>
      <c r="V87" s="558"/>
    </row>
    <row r="88" spans="2:22" ht="15">
      <c r="B88" s="547" t="str">
        <f>B41</f>
        <v>Totale vraag / Total  demand</v>
      </c>
      <c r="C88" s="558">
        <f>C41</f>
        <v>323.59999999999997</v>
      </c>
      <c r="D88" s="558">
        <f aca="true" t="shared" si="23" ref="D88:S88">D41</f>
        <v>314.90000000000003</v>
      </c>
      <c r="E88" s="558">
        <f t="shared" si="23"/>
        <v>282.25</v>
      </c>
      <c r="F88" s="558">
        <f t="shared" si="23"/>
        <v>286.5</v>
      </c>
      <c r="G88" s="558">
        <f t="shared" si="23"/>
        <v>276.90000000000003</v>
      </c>
      <c r="H88" s="558">
        <f t="shared" si="23"/>
        <v>270.90000000000003</v>
      </c>
      <c r="I88" s="558">
        <f t="shared" si="23"/>
        <v>238.60000000000002</v>
      </c>
      <c r="J88" s="558">
        <f t="shared" si="23"/>
        <v>240.2</v>
      </c>
      <c r="K88" s="558">
        <f t="shared" si="23"/>
        <v>252.10000000000002</v>
      </c>
      <c r="L88" s="558">
        <f t="shared" si="23"/>
        <v>227.5</v>
      </c>
      <c r="M88" s="558">
        <f t="shared" si="23"/>
        <v>231.3</v>
      </c>
      <c r="N88" s="558">
        <f t="shared" si="23"/>
        <v>230.79999999999995</v>
      </c>
      <c r="O88" s="558">
        <f t="shared" si="23"/>
        <v>255.1</v>
      </c>
      <c r="P88" s="558">
        <f>P41</f>
        <v>222.4</v>
      </c>
      <c r="Q88" s="558">
        <f t="shared" si="23"/>
        <v>227.5</v>
      </c>
      <c r="R88" s="558">
        <f t="shared" si="23"/>
        <v>192</v>
      </c>
      <c r="S88" s="558">
        <f t="shared" si="23"/>
        <v>200.916</v>
      </c>
      <c r="T88" s="558"/>
      <c r="U88" s="558"/>
      <c r="V88" s="558"/>
    </row>
    <row r="89" spans="2:22" ht="15">
      <c r="B89" s="543" t="str">
        <f>B43</f>
        <v>Eindvoorraad (28 Februarie) / Carry-out (28 February)</v>
      </c>
      <c r="C89" s="543">
        <f aca="true" t="shared" si="24" ref="C89:O89">C44</f>
        <v>0</v>
      </c>
      <c r="D89" s="543">
        <f t="shared" si="24"/>
        <v>0</v>
      </c>
      <c r="E89" s="543">
        <f t="shared" si="24"/>
        <v>0</v>
      </c>
      <c r="F89" s="543">
        <f t="shared" si="24"/>
        <v>0</v>
      </c>
      <c r="G89" s="543">
        <f t="shared" si="24"/>
        <v>0</v>
      </c>
      <c r="H89" s="543">
        <f t="shared" si="24"/>
        <v>0</v>
      </c>
      <c r="I89" s="543">
        <f t="shared" si="24"/>
        <v>0</v>
      </c>
      <c r="J89" s="543">
        <f t="shared" si="24"/>
        <v>0</v>
      </c>
      <c r="K89" s="543">
        <f t="shared" si="24"/>
        <v>0</v>
      </c>
      <c r="L89" s="543">
        <f t="shared" si="24"/>
        <v>0</v>
      </c>
      <c r="M89" s="543">
        <f t="shared" si="24"/>
        <v>0</v>
      </c>
      <c r="N89" s="543">
        <f t="shared" si="24"/>
        <v>0</v>
      </c>
      <c r="O89" s="543">
        <f t="shared" si="24"/>
        <v>0</v>
      </c>
      <c r="P89" s="543">
        <f>P43</f>
        <v>58.10000000000011</v>
      </c>
      <c r="Q89" s="543">
        <f>Q43</f>
        <v>52.10000000000008</v>
      </c>
      <c r="R89" s="543">
        <f>R43</f>
        <v>48.30000000000007</v>
      </c>
      <c r="S89" s="543">
        <f>S43</f>
        <v>50.73600000000005</v>
      </c>
      <c r="T89" s="543"/>
      <c r="U89" s="543"/>
      <c r="V89" s="543"/>
    </row>
    <row r="90" spans="2:22" ht="15">
      <c r="B90" s="544" t="str">
        <f>B45</f>
        <v>Benodigde pyplyn / Pipeline requirements</v>
      </c>
      <c r="C90" s="544">
        <f aca="true" t="shared" si="25" ref="C90:O90">C46</f>
        <v>0</v>
      </c>
      <c r="D90" s="544">
        <f t="shared" si="25"/>
        <v>0</v>
      </c>
      <c r="E90" s="544">
        <f t="shared" si="25"/>
        <v>0</v>
      </c>
      <c r="F90" s="544">
        <f t="shared" si="25"/>
        <v>0</v>
      </c>
      <c r="G90" s="544">
        <f t="shared" si="25"/>
        <v>0</v>
      </c>
      <c r="H90" s="544">
        <f t="shared" si="25"/>
        <v>0</v>
      </c>
      <c r="I90" s="544">
        <f t="shared" si="25"/>
        <v>0</v>
      </c>
      <c r="J90" s="544">
        <f t="shared" si="25"/>
        <v>0</v>
      </c>
      <c r="K90" s="544">
        <f t="shared" si="25"/>
        <v>0</v>
      </c>
      <c r="L90" s="544">
        <f t="shared" si="25"/>
        <v>0</v>
      </c>
      <c r="M90" s="544">
        <f t="shared" si="25"/>
        <v>0</v>
      </c>
      <c r="N90" s="544">
        <f t="shared" si="25"/>
        <v>0</v>
      </c>
      <c r="O90" s="544">
        <f t="shared" si="25"/>
        <v>0</v>
      </c>
      <c r="P90" s="544">
        <f>P45</f>
        <v>22.7875</v>
      </c>
      <c r="Q90" s="544">
        <f>Q45</f>
        <v>22.775000000000002</v>
      </c>
      <c r="R90" s="544">
        <f>R45</f>
        <v>19.75</v>
      </c>
      <c r="S90" s="544">
        <f>S45</f>
        <v>20.67875</v>
      </c>
      <c r="T90" s="544"/>
      <c r="U90" s="544"/>
      <c r="V90" s="544"/>
    </row>
    <row r="91" spans="2:22" ht="15">
      <c r="B91" s="544" t="str">
        <f>B47</f>
        <v>Surplus bo pyplyn/Surplus above pipeline</v>
      </c>
      <c r="C91" s="544">
        <f aca="true" t="shared" si="26" ref="C91:O91">C48</f>
        <v>0</v>
      </c>
      <c r="D91" s="544">
        <f t="shared" si="26"/>
        <v>0</v>
      </c>
      <c r="E91" s="544">
        <f t="shared" si="26"/>
        <v>0</v>
      </c>
      <c r="F91" s="544">
        <f t="shared" si="26"/>
        <v>0</v>
      </c>
      <c r="G91" s="544">
        <f t="shared" si="26"/>
        <v>0</v>
      </c>
      <c r="H91" s="544">
        <f t="shared" si="26"/>
        <v>0</v>
      </c>
      <c r="I91" s="544">
        <f t="shared" si="26"/>
        <v>0</v>
      </c>
      <c r="J91" s="544">
        <f t="shared" si="26"/>
        <v>0</v>
      </c>
      <c r="K91" s="544">
        <f t="shared" si="26"/>
        <v>0</v>
      </c>
      <c r="L91" s="544">
        <f t="shared" si="26"/>
        <v>0</v>
      </c>
      <c r="M91" s="544">
        <f t="shared" si="26"/>
        <v>0</v>
      </c>
      <c r="N91" s="544">
        <f t="shared" si="26"/>
        <v>0</v>
      </c>
      <c r="O91" s="544">
        <f t="shared" si="26"/>
        <v>0</v>
      </c>
      <c r="P91" s="544">
        <f>P47</f>
        <v>35.31250000000011</v>
      </c>
      <c r="Q91" s="544">
        <f>Q47</f>
        <v>29.325000000000077</v>
      </c>
      <c r="R91" s="544">
        <f>R47</f>
        <v>28.550000000000068</v>
      </c>
      <c r="S91" s="544">
        <f>S47</f>
        <v>30.057250000000046</v>
      </c>
      <c r="T91" s="544"/>
      <c r="U91" s="544"/>
      <c r="V91" s="544"/>
    </row>
  </sheetData>
  <sheetProtection/>
  <mergeCells count="14">
    <mergeCell ref="W4:W5"/>
    <mergeCell ref="B64:Q64"/>
    <mergeCell ref="B67:Q67"/>
    <mergeCell ref="B58:Q58"/>
    <mergeCell ref="B68:Q68"/>
    <mergeCell ref="B69:Q69"/>
    <mergeCell ref="V4:V5"/>
    <mergeCell ref="B70:Q70"/>
    <mergeCell ref="B66:Q66"/>
    <mergeCell ref="B57:Q57"/>
    <mergeCell ref="B59:Q59"/>
    <mergeCell ref="B60:Q60"/>
    <mergeCell ref="B61:Q61"/>
    <mergeCell ref="B62:Q62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Summergrain S&amp;D Projections</dc:title>
  <dc:subject>Supply and Demand</dc:subject>
  <dc:creator>Lemmer WJ</dc:creator>
  <cp:keywords>Maize Sorghum Supply Demand Projection</cp:keywords>
  <dc:description>The Supply and Demand Projections are updated monthly.  The projections are based on the monthly CEC- &amp; SAGIS-reports as well as Grain SA's own assumptions and historic data in the database.</dc:description>
  <cp:lastModifiedBy>Luzelle Botha</cp:lastModifiedBy>
  <cp:lastPrinted>2014-10-01T08:25:54Z</cp:lastPrinted>
  <dcterms:created xsi:type="dcterms:W3CDTF">2000-03-27T14:20:35Z</dcterms:created>
  <dcterms:modified xsi:type="dcterms:W3CDTF">2014-10-01T08:27:00Z</dcterms:modified>
  <cp:category>Grain SA Market Data &amp; Info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