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85" windowWidth="16320" windowHeight="10320" tabRatio="941" firstSheet="4" activeTab="10"/>
  </bookViews>
  <sheets>
    <sheet name="Export destin -Uitvoer bestem." sheetId="1" r:id="rId1"/>
    <sheet name="Geelmielie uitvoere" sheetId="2" r:id="rId2"/>
    <sheet name="Witmielie uitvoere" sheetId="3" r:id="rId3"/>
    <sheet name="Weeklikse uitvoere" sheetId="4" r:id="rId4"/>
    <sheet name="Cumulative YM Exports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</sheets>
  <definedNames>
    <definedName name="_xlnm.Print_Area" localSheetId="0">'Export destin -Uitvoer bestem.'!$A$1:$J$79</definedName>
    <definedName name="_xlnm.Print_Area" localSheetId="11">'Imports from - Invoere vanaf '!$A$1:$G$22</definedName>
    <definedName name="_xlnm.Print_Area" localSheetId="9">'Previous weekly'!$A$1:$J$59</definedName>
    <definedName name="_xlnm.Print_Area" localSheetId="10">'Weekliks-Weekly'!$A$1:$J$59</definedName>
  </definedNames>
  <calcPr fullCalcOnLoad="1"/>
</workbook>
</file>

<file path=xl/sharedStrings.xml><?xml version="1.0" encoding="utf-8"?>
<sst xmlns="http://schemas.openxmlformats.org/spreadsheetml/2006/main" count="269" uniqueCount="135">
  <si>
    <t>INVOERE/IMPORTS</t>
  </si>
  <si>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</si>
  <si>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</si>
  <si>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</si>
  <si>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</si>
  <si>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</si>
  <si>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</si>
  <si>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</si>
  <si>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</si>
  <si>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</si>
  <si>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</si>
  <si>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</si>
  <si>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</si>
  <si>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</si>
  <si>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</si>
  <si>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</si>
  <si>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</si>
  <si>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</si>
  <si>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</si>
  <si>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</si>
  <si>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</si>
  <si>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</si>
  <si>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</si>
  <si>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</si>
  <si>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</si>
  <si>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</si>
  <si>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</si>
  <si>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</si>
  <si>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</si>
  <si>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</si>
  <si>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</si>
  <si>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</si>
  <si>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</si>
  <si>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</si>
  <si>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</si>
  <si>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</si>
  <si>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</si>
  <si>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</si>
  <si>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</si>
  <si>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</si>
  <si>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</si>
  <si>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</si>
  <si>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</si>
  <si>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</si>
  <si>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</si>
  <si>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</si>
  <si>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</si>
  <si>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</si>
  <si>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</si>
  <si>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</si>
  <si>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</si>
  <si>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</si>
  <si>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</si>
  <si>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</si>
  <si>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</si>
  <si>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</si>
  <si>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</si>
  <si>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</si>
  <si>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</si>
  <si>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</si>
  <si>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</si>
  <si>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</si>
  <si>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</si>
  <si>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</si>
  <si>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</si>
  <si>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</si>
  <si>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</si>
  <si>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</si>
  <si>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</si>
  <si>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</si>
  <si>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</si>
  <si>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</si>
  <si>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</si>
  <si>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</si>
  <si>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</si>
  <si>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</si>
  <si>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</si>
  <si>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</si>
  <si>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</si>
  <si>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</si>
  <si>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</si>
  <si>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</si>
  <si>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</si>
  <si>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</si>
  <si>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</si>
  <si>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</si>
  <si>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</si>
  <si>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</si>
  <si>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</si>
  <si>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</si>
  <si>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Taiwan</t>
  </si>
  <si>
    <t>Italy</t>
  </si>
  <si>
    <t>Exports-Africa vs Rest/Uitvoere- Afrika vs res</t>
  </si>
  <si>
    <t>Africa/Afrika (BLNS included/ingesluit)</t>
  </si>
  <si>
    <t>Other than Africa/Ander dan Afrika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</si>
  <si>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</si>
  <si>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</si>
  <si>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</si>
  <si>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</si>
  <si>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</si>
  <si>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</si>
  <si>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</si>
  <si>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</si>
  <si>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</si>
  <si>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</si>
  <si>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</si>
  <si>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</si>
  <si>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</si>
  <si>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</si>
  <si>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</si>
  <si>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</si>
  <si>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</si>
  <si>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UITVOERE/EXPORTS - 2013/14 Marketing season/ bemarkingseisoen</t>
  </si>
  <si>
    <t>2012/13</t>
  </si>
  <si>
    <t>SAGIS: WEEKLIKSE INVOERE EN UITVOERE 2013/14 Bemarkingseisoen</t>
  </si>
  <si>
    <t>SAGIS: WEEKLY IMPORTS AND EXPORTS 2013/14 Marketing season</t>
  </si>
  <si>
    <t>07 May 2013 to</t>
  </si>
  <si>
    <t>North Korea</t>
  </si>
  <si>
    <t>South Korea</t>
  </si>
  <si>
    <t>SAGIS: WEEKLIKSE INVOERE EN UITVOERE 2014/15 Bemarkingseisoen</t>
  </si>
  <si>
    <t>SAGIS: WEEKLY IMPORTS AND EXPORTS 2014/15 Marketing season</t>
  </si>
  <si>
    <t>2013/14</t>
  </si>
  <si>
    <t>2014/15*</t>
  </si>
  <si>
    <t>02-May-14</t>
  </si>
  <si>
    <t xml:space="preserve">26 April2014 tot </t>
  </si>
  <si>
    <t>26 April 2014 to</t>
  </si>
  <si>
    <t xml:space="preserve">26 April 2014 tot </t>
  </si>
  <si>
    <t>Progressive white maize exports since 1 May 2014</t>
  </si>
  <si>
    <t>Progressive yellow maize exports since 1 May 2014</t>
  </si>
  <si>
    <t>Progressive total maize exports since 1 May 2014</t>
  </si>
  <si>
    <t>09-May-14</t>
  </si>
  <si>
    <t>16-May-14</t>
  </si>
  <si>
    <t>Korea (North)</t>
  </si>
  <si>
    <t>Saudi Arabia</t>
  </si>
  <si>
    <t>Weeklikse gemid uitvoer tempo vir 2014/15. Weekly average export pace for 2014/15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</si>
</sst>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9.25"/>
      <color indexed="8"/>
      <name val="Arial"/>
      <family val="0"/>
    </font>
    <font>
      <b/>
      <sz val="15"/>
      <color indexed="8"/>
      <name val="Arial"/>
      <family val="0"/>
    </font>
    <font>
      <sz val="6.75"/>
      <color indexed="8"/>
      <name val="Arial"/>
      <family val="0"/>
    </font>
    <font>
      <b/>
      <sz val="11.1"/>
      <color indexed="8"/>
      <name val="Arial"/>
      <family val="0"/>
    </font>
    <font>
      <b/>
      <sz val="13"/>
      <color indexed="8"/>
      <name val="Arial"/>
      <family val="0"/>
    </font>
    <font>
      <b/>
      <sz val="5.7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175" fontId="0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2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3" xfId="42" applyNumberFormat="1" applyFont="1" applyBorder="1" applyAlignment="1">
      <alignment/>
    </xf>
    <xf numFmtId="175" fontId="0" fillId="0" borderId="34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1" xfId="0" applyFont="1" applyBorder="1" applyAlignment="1">
      <alignment/>
    </xf>
    <xf numFmtId="3" fontId="1" fillId="0" borderId="3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7" fillId="30" borderId="1" xfId="54" applyAlignment="1">
      <alignment/>
    </xf>
    <xf numFmtId="175" fontId="57" fillId="30" borderId="1" xfId="54" applyNumberFormat="1" applyAlignment="1">
      <alignment/>
    </xf>
    <xf numFmtId="3" fontId="57" fillId="30" borderId="1" xfId="54" applyNumberFormat="1" applyAlignment="1">
      <alignment/>
    </xf>
    <xf numFmtId="15" fontId="57" fillId="30" borderId="1" xfId="54" applyNumberFormat="1" applyAlignment="1">
      <alignment/>
    </xf>
    <xf numFmtId="15" fontId="57" fillId="30" borderId="1" xfId="54" applyNumberFormat="1" applyAlignment="1">
      <alignment horizontal="center"/>
    </xf>
    <xf numFmtId="0" fontId="57" fillId="30" borderId="1" xfId="54" applyNumberFormat="1" applyAlignment="1">
      <alignment/>
    </xf>
    <xf numFmtId="0" fontId="57" fillId="30" borderId="1" xfId="54" applyNumberFormat="1" applyAlignment="1">
      <alignment/>
    </xf>
    <xf numFmtId="41" fontId="57" fillId="30" borderId="1" xfId="54" applyNumberFormat="1" applyAlignment="1">
      <alignment/>
    </xf>
    <xf numFmtId="186" fontId="57" fillId="30" borderId="1" xfId="54" applyNumberFormat="1" applyAlignment="1">
      <alignment/>
    </xf>
    <xf numFmtId="175" fontId="57" fillId="30" borderId="38" xfId="54" applyNumberFormat="1" applyBorder="1" applyAlignment="1">
      <alignment/>
    </xf>
    <xf numFmtId="15" fontId="64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5" fontId="57" fillId="30" borderId="1" xfId="54" applyNumberFormat="1" applyAlignment="1">
      <alignment/>
    </xf>
    <xf numFmtId="175" fontId="1" fillId="0" borderId="19" xfId="0" applyNumberFormat="1" applyFont="1" applyBorder="1" applyAlignment="1">
      <alignment/>
    </xf>
    <xf numFmtId="175" fontId="1" fillId="0" borderId="34" xfId="0" applyNumberFormat="1" applyFont="1" applyBorder="1" applyAlignment="1">
      <alignment/>
    </xf>
    <xf numFmtId="175" fontId="57" fillId="30" borderId="39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5" fillId="33" borderId="19" xfId="54" applyNumberFormat="1" applyFont="1" applyFill="1" applyBorder="1" applyAlignment="1">
      <alignment/>
    </xf>
    <xf numFmtId="3" fontId="65" fillId="33" borderId="19" xfId="54" applyNumberFormat="1" applyFont="1" applyFill="1" applyBorder="1" applyAlignment="1">
      <alignment/>
    </xf>
    <xf numFmtId="3" fontId="66" fillId="33" borderId="19" xfId="0" applyNumberFormat="1" applyFont="1" applyFill="1" applyBorder="1" applyAlignment="1">
      <alignment/>
    </xf>
    <xf numFmtId="0" fontId="65" fillId="0" borderId="4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 quotePrefix="1">
      <alignment horizontal="right"/>
    </xf>
    <xf numFmtId="3" fontId="0" fillId="0" borderId="34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7" fillId="30" borderId="41" xfId="54" applyNumberFormat="1" applyBorder="1" applyAlignment="1">
      <alignment horizontal="right"/>
    </xf>
    <xf numFmtId="0" fontId="57" fillId="30" borderId="41" xfId="54" applyBorder="1" applyAlignment="1">
      <alignment/>
    </xf>
    <xf numFmtId="15" fontId="57" fillId="33" borderId="19" xfId="54" applyNumberFormat="1" applyFill="1" applyBorder="1" applyAlignment="1">
      <alignment horizontal="right"/>
    </xf>
    <xf numFmtId="0" fontId="57" fillId="33" borderId="19" xfId="54" applyFill="1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28" xfId="42" applyNumberFormat="1" applyFont="1" applyBorder="1" applyAlignment="1">
      <alignment/>
    </xf>
    <xf numFmtId="175" fontId="0" fillId="0" borderId="42" xfId="42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2014/15 (ton, %)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"/>
          <c:y val="0.14725"/>
          <c:w val="0.471"/>
          <c:h val="0.71725"/>
        </c:manualLayout>
      </c:layout>
      <c:pieChart>
        <c:varyColors val="1"/>
        <c:ser>
          <c:idx val="2"/>
          <c:order val="0"/>
          <c:tx>
            <c:strRef>
              <c:f>'Export destin -Uitvoer bestem.'!$E$47</c:f>
              <c:strCache>
                <c:ptCount val="1"/>
                <c:pt idx="0">
                  <c:v>2014/15*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bestem.'!$A$48:$A$78</c:f>
              <c:strCache>
                <c:ptCount val="31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South Korea</c:v>
                </c:pt>
                <c:pt idx="14">
                  <c:v>Malaysia</c:v>
                </c:pt>
                <c:pt idx="15">
                  <c:v>Mauritius</c:v>
                </c:pt>
                <c:pt idx="16">
                  <c:v>Madagaskar</c:v>
                </c:pt>
                <c:pt idx="17">
                  <c:v>Nigeria</c:v>
                </c:pt>
                <c:pt idx="18">
                  <c:v>Malawië</c:v>
                </c:pt>
                <c:pt idx="19">
                  <c:v>Portugal</c:v>
                </c:pt>
                <c:pt idx="20">
                  <c:v>Saudi Arabia</c:v>
                </c:pt>
                <c:pt idx="21">
                  <c:v>Senegal</c:v>
                </c:pt>
                <c:pt idx="22">
                  <c:v>Tanzania</c:v>
                </c:pt>
                <c:pt idx="23">
                  <c:v>Zambia</c:v>
                </c:pt>
                <c:pt idx="24">
                  <c:v>Seychelles</c:v>
                </c:pt>
                <c:pt idx="25">
                  <c:v>Spain</c:v>
                </c:pt>
                <c:pt idx="26">
                  <c:v>Zimbabwe</c:v>
                </c:pt>
                <c:pt idx="27">
                  <c:v>Iran</c:v>
                </c:pt>
                <c:pt idx="28">
                  <c:v>Italy</c:v>
                </c:pt>
                <c:pt idx="29">
                  <c:v>Indonesia</c:v>
                </c:pt>
                <c:pt idx="30">
                  <c:v>North Korea</c:v>
                </c:pt>
              </c:strCache>
            </c:strRef>
          </c:cat>
          <c:val>
            <c:numRef>
              <c:f>'Export destin -Uitvoer bestem.'!$E$48:$E$78</c:f>
              <c:numCache>
                <c:ptCount val="31"/>
                <c:pt idx="0">
                  <c:v>7506</c:v>
                </c:pt>
                <c:pt idx="1">
                  <c:v>24483</c:v>
                </c:pt>
                <c:pt idx="2">
                  <c:v>45076</c:v>
                </c:pt>
                <c:pt idx="3">
                  <c:v>37518</c:v>
                </c:pt>
                <c:pt idx="4">
                  <c:v>30126</c:v>
                </c:pt>
                <c:pt idx="5">
                  <c:v>679185</c:v>
                </c:pt>
                <c:pt idx="6">
                  <c:v>198197</c:v>
                </c:pt>
                <c:pt idx="7">
                  <c:v>1011</c:v>
                </c:pt>
                <c:pt idx="10">
                  <c:v>3540</c:v>
                </c:pt>
                <c:pt idx="13">
                  <c:v>214474</c:v>
                </c:pt>
                <c:pt idx="19">
                  <c:v>52499</c:v>
                </c:pt>
                <c:pt idx="20">
                  <c:v>55959</c:v>
                </c:pt>
                <c:pt idx="26">
                  <c:v>3617</c:v>
                </c:pt>
                <c:pt idx="28">
                  <c:v>50078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2014/15 (ton, %)</a:t>
            </a:r>
          </a:p>
        </c:rich>
      </c:tx>
      <c:layout>
        <c:manualLayout>
          <c:xMode val="factor"/>
          <c:yMode val="factor"/>
          <c:x val="-0.024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"/>
          <c:y val="0.17"/>
          <c:w val="0.462"/>
          <c:h val="0.7055"/>
        </c:manualLayout>
      </c:layout>
      <c:pieChart>
        <c:varyColors val="1"/>
        <c:ser>
          <c:idx val="2"/>
          <c:order val="0"/>
          <c:tx>
            <c:strRef>
              <c:f>'Export destin -Uitvoer bestem.'!$E$8</c:f>
              <c:strCache>
                <c:ptCount val="1"/>
                <c:pt idx="0">
                  <c:v>2014/15*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bestem.'!$A$9:$A$43</c:f>
              <c:strCache>
                <c:ptCount val="35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Senegal</c:v>
                </c:pt>
                <c:pt idx="30">
                  <c:v>Singapore</c:v>
                </c:pt>
                <c:pt idx="31">
                  <c:v>Tanzania</c:v>
                </c:pt>
                <c:pt idx="32">
                  <c:v>Togo</c:v>
                </c:pt>
                <c:pt idx="33">
                  <c:v>Venezuela</c:v>
                </c:pt>
                <c:pt idx="34">
                  <c:v>Zambia</c:v>
                </c:pt>
              </c:strCache>
            </c:strRef>
          </c:cat>
          <c:val>
            <c:numRef>
              <c:f>'Export destin -Uitvoer bestem.'!$E$9:$E$43</c:f>
              <c:numCache>
                <c:ptCount val="35"/>
                <c:pt idx="0">
                  <c:v>25244</c:v>
                </c:pt>
                <c:pt idx="1">
                  <c:v>103494</c:v>
                </c:pt>
                <c:pt idx="2">
                  <c:v>98459</c:v>
                </c:pt>
                <c:pt idx="3">
                  <c:v>57559</c:v>
                </c:pt>
                <c:pt idx="4">
                  <c:v>85106</c:v>
                </c:pt>
                <c:pt idx="5">
                  <c:v>160587</c:v>
                </c:pt>
                <c:pt idx="18">
                  <c:v>5565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725"/>
          <c:w val="0.9497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v>Wit/White</c:v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2770</c:v>
                </c:pt>
                <c:pt idx="1">
                  <c:v>5322</c:v>
                </c:pt>
                <c:pt idx="2">
                  <c:v>5050</c:v>
                </c:pt>
                <c:pt idx="3">
                  <c:v>6521</c:v>
                </c:pt>
                <c:pt idx="4">
                  <c:v>15200</c:v>
                </c:pt>
                <c:pt idx="5">
                  <c:v>15797</c:v>
                </c:pt>
                <c:pt idx="6">
                  <c:v>12089</c:v>
                </c:pt>
                <c:pt idx="7">
                  <c:v>10972</c:v>
                </c:pt>
                <c:pt idx="8">
                  <c:v>16064</c:v>
                </c:pt>
                <c:pt idx="9">
                  <c:v>8065</c:v>
                </c:pt>
                <c:pt idx="10">
                  <c:v>8404</c:v>
                </c:pt>
                <c:pt idx="11">
                  <c:v>15073</c:v>
                </c:pt>
                <c:pt idx="12">
                  <c:v>18542</c:v>
                </c:pt>
                <c:pt idx="13">
                  <c:v>9734</c:v>
                </c:pt>
                <c:pt idx="14">
                  <c:v>9235</c:v>
                </c:pt>
                <c:pt idx="15">
                  <c:v>10528</c:v>
                </c:pt>
                <c:pt idx="16">
                  <c:v>10486</c:v>
                </c:pt>
                <c:pt idx="17">
                  <c:v>10416</c:v>
                </c:pt>
                <c:pt idx="18">
                  <c:v>9637</c:v>
                </c:pt>
                <c:pt idx="19">
                  <c:v>10876</c:v>
                </c:pt>
                <c:pt idx="20">
                  <c:v>7554</c:v>
                </c:pt>
                <c:pt idx="21">
                  <c:v>8638</c:v>
                </c:pt>
                <c:pt idx="22">
                  <c:v>9145</c:v>
                </c:pt>
                <c:pt idx="23">
                  <c:v>7115</c:v>
                </c:pt>
                <c:pt idx="24">
                  <c:v>8535</c:v>
                </c:pt>
                <c:pt idx="25">
                  <c:v>11190</c:v>
                </c:pt>
                <c:pt idx="26">
                  <c:v>12705</c:v>
                </c:pt>
                <c:pt idx="27">
                  <c:v>11548</c:v>
                </c:pt>
                <c:pt idx="28">
                  <c:v>8151</c:v>
                </c:pt>
                <c:pt idx="29">
                  <c:v>11103</c:v>
                </c:pt>
                <c:pt idx="30">
                  <c:v>10279</c:v>
                </c:pt>
                <c:pt idx="31">
                  <c:v>11195</c:v>
                </c:pt>
                <c:pt idx="32">
                  <c:v>0</c:v>
                </c:pt>
                <c:pt idx="33">
                  <c:v>0</c:v>
                </c:pt>
                <c:pt idx="34">
                  <c:v>27945</c:v>
                </c:pt>
                <c:pt idx="35">
                  <c:v>6117</c:v>
                </c:pt>
                <c:pt idx="36">
                  <c:v>10325</c:v>
                </c:pt>
                <c:pt idx="37">
                  <c:v>14763</c:v>
                </c:pt>
                <c:pt idx="38">
                  <c:v>11765</c:v>
                </c:pt>
                <c:pt idx="39">
                  <c:v>9200</c:v>
                </c:pt>
                <c:pt idx="40">
                  <c:v>10106</c:v>
                </c:pt>
                <c:pt idx="41">
                  <c:v>9536</c:v>
                </c:pt>
                <c:pt idx="42">
                  <c:v>16160</c:v>
                </c:pt>
                <c:pt idx="43">
                  <c:v>10836</c:v>
                </c:pt>
                <c:pt idx="44">
                  <c:v>10947</c:v>
                </c:pt>
                <c:pt idx="45">
                  <c:v>9604</c:v>
                </c:pt>
                <c:pt idx="46">
                  <c:v>11566</c:v>
                </c:pt>
                <c:pt idx="47">
                  <c:v>13195</c:v>
                </c:pt>
                <c:pt idx="48">
                  <c:v>6411</c:v>
                </c:pt>
                <c:pt idx="49">
                  <c:v>9864</c:v>
                </c:pt>
                <c:pt idx="50">
                  <c:v>10713</c:v>
                </c:pt>
                <c:pt idx="51">
                  <c:v>9022</c:v>
                </c:pt>
              </c:numCache>
            </c:numRef>
          </c:val>
        </c:ser>
        <c:ser>
          <c:idx val="0"/>
          <c:order val="1"/>
          <c:tx>
            <c:v>Geel/Yellow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1698</c:v>
                </c:pt>
                <c:pt idx="1">
                  <c:v>2385</c:v>
                </c:pt>
                <c:pt idx="2">
                  <c:v>4216</c:v>
                </c:pt>
                <c:pt idx="3">
                  <c:v>4256</c:v>
                </c:pt>
                <c:pt idx="4">
                  <c:v>5574</c:v>
                </c:pt>
                <c:pt idx="5">
                  <c:v>33854</c:v>
                </c:pt>
                <c:pt idx="6">
                  <c:v>21455</c:v>
                </c:pt>
                <c:pt idx="7">
                  <c:v>56288</c:v>
                </c:pt>
                <c:pt idx="8">
                  <c:v>93656</c:v>
                </c:pt>
                <c:pt idx="9">
                  <c:v>54576</c:v>
                </c:pt>
                <c:pt idx="10">
                  <c:v>92534</c:v>
                </c:pt>
                <c:pt idx="11">
                  <c:v>122939</c:v>
                </c:pt>
                <c:pt idx="12">
                  <c:v>95504</c:v>
                </c:pt>
                <c:pt idx="13">
                  <c:v>97192</c:v>
                </c:pt>
                <c:pt idx="14">
                  <c:v>70597</c:v>
                </c:pt>
                <c:pt idx="15">
                  <c:v>119575</c:v>
                </c:pt>
                <c:pt idx="16">
                  <c:v>55761</c:v>
                </c:pt>
                <c:pt idx="17">
                  <c:v>52010</c:v>
                </c:pt>
                <c:pt idx="18">
                  <c:v>27594</c:v>
                </c:pt>
                <c:pt idx="19">
                  <c:v>45171</c:v>
                </c:pt>
                <c:pt idx="20">
                  <c:v>58739</c:v>
                </c:pt>
                <c:pt idx="21">
                  <c:v>95513</c:v>
                </c:pt>
                <c:pt idx="22">
                  <c:v>44614</c:v>
                </c:pt>
                <c:pt idx="23">
                  <c:v>14734</c:v>
                </c:pt>
                <c:pt idx="24">
                  <c:v>6619</c:v>
                </c:pt>
                <c:pt idx="25">
                  <c:v>49204</c:v>
                </c:pt>
                <c:pt idx="26">
                  <c:v>3977</c:v>
                </c:pt>
                <c:pt idx="27">
                  <c:v>2533</c:v>
                </c:pt>
                <c:pt idx="28">
                  <c:v>4620</c:v>
                </c:pt>
                <c:pt idx="29">
                  <c:v>3742</c:v>
                </c:pt>
                <c:pt idx="30">
                  <c:v>2884</c:v>
                </c:pt>
                <c:pt idx="31">
                  <c:v>2721</c:v>
                </c:pt>
                <c:pt idx="32">
                  <c:v>0</c:v>
                </c:pt>
                <c:pt idx="33">
                  <c:v>0</c:v>
                </c:pt>
                <c:pt idx="34">
                  <c:v>9904</c:v>
                </c:pt>
                <c:pt idx="35">
                  <c:v>1916</c:v>
                </c:pt>
                <c:pt idx="36">
                  <c:v>2677</c:v>
                </c:pt>
                <c:pt idx="37">
                  <c:v>2347</c:v>
                </c:pt>
                <c:pt idx="38">
                  <c:v>2559</c:v>
                </c:pt>
                <c:pt idx="39">
                  <c:v>3911</c:v>
                </c:pt>
                <c:pt idx="40">
                  <c:v>3101</c:v>
                </c:pt>
                <c:pt idx="41">
                  <c:v>3412</c:v>
                </c:pt>
                <c:pt idx="42">
                  <c:v>2102</c:v>
                </c:pt>
                <c:pt idx="43">
                  <c:v>3143</c:v>
                </c:pt>
                <c:pt idx="44">
                  <c:v>3432</c:v>
                </c:pt>
                <c:pt idx="45">
                  <c:v>2623</c:v>
                </c:pt>
                <c:pt idx="46">
                  <c:v>3058</c:v>
                </c:pt>
                <c:pt idx="47">
                  <c:v>3198</c:v>
                </c:pt>
                <c:pt idx="48">
                  <c:v>1253</c:v>
                </c:pt>
                <c:pt idx="49">
                  <c:v>1188</c:v>
                </c:pt>
                <c:pt idx="50">
                  <c:v>2958</c:v>
                </c:pt>
                <c:pt idx="51">
                  <c:v>3752</c:v>
                </c:pt>
              </c:numCache>
            </c:numRef>
          </c:val>
        </c:ser>
        <c:ser>
          <c:idx val="2"/>
          <c:order val="2"/>
          <c:tx>
            <c:v>Week Totaal/ Week Total</c:v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4468</c:v>
                </c:pt>
                <c:pt idx="1">
                  <c:v>7707</c:v>
                </c:pt>
                <c:pt idx="2">
                  <c:v>9266</c:v>
                </c:pt>
                <c:pt idx="3">
                  <c:v>10777</c:v>
                </c:pt>
                <c:pt idx="4">
                  <c:v>20774</c:v>
                </c:pt>
                <c:pt idx="5">
                  <c:v>49651</c:v>
                </c:pt>
                <c:pt idx="6">
                  <c:v>33544</c:v>
                </c:pt>
                <c:pt idx="7">
                  <c:v>67260</c:v>
                </c:pt>
                <c:pt idx="8">
                  <c:v>109720</c:v>
                </c:pt>
                <c:pt idx="9">
                  <c:v>62641</c:v>
                </c:pt>
                <c:pt idx="10">
                  <c:v>100938</c:v>
                </c:pt>
                <c:pt idx="11">
                  <c:v>138012</c:v>
                </c:pt>
                <c:pt idx="12">
                  <c:v>114046</c:v>
                </c:pt>
                <c:pt idx="13">
                  <c:v>106926</c:v>
                </c:pt>
                <c:pt idx="14">
                  <c:v>79832</c:v>
                </c:pt>
                <c:pt idx="15">
                  <c:v>130103</c:v>
                </c:pt>
                <c:pt idx="16">
                  <c:v>66247</c:v>
                </c:pt>
                <c:pt idx="17">
                  <c:v>62426</c:v>
                </c:pt>
                <c:pt idx="18">
                  <c:v>37231</c:v>
                </c:pt>
                <c:pt idx="19">
                  <c:v>56047</c:v>
                </c:pt>
                <c:pt idx="20">
                  <c:v>66293</c:v>
                </c:pt>
                <c:pt idx="21">
                  <c:v>104151</c:v>
                </c:pt>
                <c:pt idx="22">
                  <c:v>53759</c:v>
                </c:pt>
                <c:pt idx="23">
                  <c:v>21849</c:v>
                </c:pt>
                <c:pt idx="24">
                  <c:v>15154</c:v>
                </c:pt>
                <c:pt idx="25">
                  <c:v>60394</c:v>
                </c:pt>
                <c:pt idx="26">
                  <c:v>16682</c:v>
                </c:pt>
                <c:pt idx="27">
                  <c:v>14081</c:v>
                </c:pt>
                <c:pt idx="28">
                  <c:v>12771</c:v>
                </c:pt>
                <c:pt idx="29">
                  <c:v>14845</c:v>
                </c:pt>
                <c:pt idx="30">
                  <c:v>13163</c:v>
                </c:pt>
                <c:pt idx="31">
                  <c:v>13916</c:v>
                </c:pt>
                <c:pt idx="32">
                  <c:v>0</c:v>
                </c:pt>
                <c:pt idx="33">
                  <c:v>0</c:v>
                </c:pt>
                <c:pt idx="34">
                  <c:v>37849</c:v>
                </c:pt>
                <c:pt idx="35">
                  <c:v>8033</c:v>
                </c:pt>
                <c:pt idx="36">
                  <c:v>13002</c:v>
                </c:pt>
                <c:pt idx="37">
                  <c:v>17110</c:v>
                </c:pt>
                <c:pt idx="38">
                  <c:v>14324</c:v>
                </c:pt>
                <c:pt idx="39">
                  <c:v>13111</c:v>
                </c:pt>
                <c:pt idx="40">
                  <c:v>13207</c:v>
                </c:pt>
                <c:pt idx="41">
                  <c:v>12948</c:v>
                </c:pt>
                <c:pt idx="42">
                  <c:v>18262</c:v>
                </c:pt>
                <c:pt idx="43">
                  <c:v>13979</c:v>
                </c:pt>
                <c:pt idx="44">
                  <c:v>14379</c:v>
                </c:pt>
                <c:pt idx="45">
                  <c:v>12227</c:v>
                </c:pt>
                <c:pt idx="46">
                  <c:v>14624</c:v>
                </c:pt>
                <c:pt idx="47">
                  <c:v>16393</c:v>
                </c:pt>
                <c:pt idx="48">
                  <c:v>7664</c:v>
                </c:pt>
                <c:pt idx="49">
                  <c:v>11052</c:v>
                </c:pt>
                <c:pt idx="50">
                  <c:v>13671</c:v>
                </c:pt>
                <c:pt idx="51">
                  <c:v>12774</c:v>
                </c:pt>
              </c:numCache>
            </c:numRef>
          </c:val>
        </c:ser>
        <c:axId val="51777049"/>
        <c:axId val="63340258"/>
      </c:barChart>
      <c:catAx>
        <c:axId val="51777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0258"/>
        <c:crosses val="autoZero"/>
        <c:auto val="0"/>
        <c:lblOffset val="100"/>
        <c:tickLblSkip val="1"/>
        <c:noMultiLvlLbl val="0"/>
      </c:catAx>
      <c:valAx>
        <c:axId val="63340258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7049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08925"/>
          <c:w val="0.311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2014/15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41"/>
          <c:w val="0.9525"/>
          <c:h val="0.930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2014/15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'Weekliks-Weekly'!$J$8:$J$59</c:f>
              <c:numCache>
                <c:ptCount val="52"/>
                <c:pt idx="0">
                  <c:v>1698</c:v>
                </c:pt>
                <c:pt idx="1">
                  <c:v>4083</c:v>
                </c:pt>
                <c:pt idx="2">
                  <c:v>8299</c:v>
                </c:pt>
                <c:pt idx="3">
                  <c:v>12555</c:v>
                </c:pt>
                <c:pt idx="4">
                  <c:v>18129</c:v>
                </c:pt>
                <c:pt idx="5">
                  <c:v>51983</c:v>
                </c:pt>
                <c:pt idx="6">
                  <c:v>73438</c:v>
                </c:pt>
                <c:pt idx="7">
                  <c:v>129726</c:v>
                </c:pt>
                <c:pt idx="8">
                  <c:v>223382</c:v>
                </c:pt>
                <c:pt idx="9">
                  <c:v>277958</c:v>
                </c:pt>
                <c:pt idx="10">
                  <c:v>370492</c:v>
                </c:pt>
                <c:pt idx="11">
                  <c:v>493431</c:v>
                </c:pt>
                <c:pt idx="12">
                  <c:v>588935</c:v>
                </c:pt>
                <c:pt idx="13">
                  <c:v>686127</c:v>
                </c:pt>
                <c:pt idx="14">
                  <c:v>756724</c:v>
                </c:pt>
                <c:pt idx="15">
                  <c:v>876299</c:v>
                </c:pt>
                <c:pt idx="16">
                  <c:v>932060</c:v>
                </c:pt>
                <c:pt idx="17">
                  <c:v>984070</c:v>
                </c:pt>
                <c:pt idx="18">
                  <c:v>1011664</c:v>
                </c:pt>
                <c:pt idx="19">
                  <c:v>1056835</c:v>
                </c:pt>
                <c:pt idx="20">
                  <c:v>1115574</c:v>
                </c:pt>
                <c:pt idx="21">
                  <c:v>1211087</c:v>
                </c:pt>
                <c:pt idx="22">
                  <c:v>1255701</c:v>
                </c:pt>
                <c:pt idx="23">
                  <c:v>1270435</c:v>
                </c:pt>
                <c:pt idx="24">
                  <c:v>1277054</c:v>
                </c:pt>
                <c:pt idx="25">
                  <c:v>1326258</c:v>
                </c:pt>
                <c:pt idx="26">
                  <c:v>1330235</c:v>
                </c:pt>
                <c:pt idx="27">
                  <c:v>1332768</c:v>
                </c:pt>
                <c:pt idx="28">
                  <c:v>1337388</c:v>
                </c:pt>
                <c:pt idx="29">
                  <c:v>1341130</c:v>
                </c:pt>
                <c:pt idx="30">
                  <c:v>1344014</c:v>
                </c:pt>
                <c:pt idx="31">
                  <c:v>1346735</c:v>
                </c:pt>
                <c:pt idx="32">
                  <c:v>1346735</c:v>
                </c:pt>
                <c:pt idx="33">
                  <c:v>1346735</c:v>
                </c:pt>
                <c:pt idx="34">
                  <c:v>1356639</c:v>
                </c:pt>
                <c:pt idx="35">
                  <c:v>1358555</c:v>
                </c:pt>
                <c:pt idx="36">
                  <c:v>1361232</c:v>
                </c:pt>
                <c:pt idx="37">
                  <c:v>1363579</c:v>
                </c:pt>
                <c:pt idx="38">
                  <c:v>1366138</c:v>
                </c:pt>
                <c:pt idx="39">
                  <c:v>1370049</c:v>
                </c:pt>
                <c:pt idx="40">
                  <c:v>1373150</c:v>
                </c:pt>
                <c:pt idx="41">
                  <c:v>1376562</c:v>
                </c:pt>
                <c:pt idx="42">
                  <c:v>1378664</c:v>
                </c:pt>
                <c:pt idx="43">
                  <c:v>1381807</c:v>
                </c:pt>
                <c:pt idx="44">
                  <c:v>1385239</c:v>
                </c:pt>
                <c:pt idx="45">
                  <c:v>1387862</c:v>
                </c:pt>
                <c:pt idx="46">
                  <c:v>1390920</c:v>
                </c:pt>
                <c:pt idx="47">
                  <c:v>1394118</c:v>
                </c:pt>
                <c:pt idx="48">
                  <c:v>1395371</c:v>
                </c:pt>
                <c:pt idx="49">
                  <c:v>1396559</c:v>
                </c:pt>
                <c:pt idx="50">
                  <c:v>1399517</c:v>
                </c:pt>
                <c:pt idx="51">
                  <c:v>1403269</c:v>
                </c:pt>
              </c:numCache>
            </c:numRef>
          </c:val>
        </c:ser>
        <c:gapWidth val="75"/>
        <c:axId val="33191411"/>
        <c:axId val="30287244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2013/14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02-May-14</c:v>
                  </c:pt>
                  <c:pt idx="1">
                    <c:v>09-May-14</c:v>
                  </c:pt>
                  <c:pt idx="2">
                    <c:v>16-May-14</c:v>
                  </c:pt>
                  <c:pt idx="3">
                    <c:v>23-May-14</c:v>
                  </c:pt>
                  <c:pt idx="4">
                    <c:v>30-May-14</c:v>
                  </c:pt>
                  <c:pt idx="5">
                    <c:v>06-Jun-14</c:v>
                  </c:pt>
                  <c:pt idx="6">
                    <c:v>13-Jun-14</c:v>
                  </c:pt>
                  <c:pt idx="7">
                    <c:v>20-Jun-14</c:v>
                  </c:pt>
                  <c:pt idx="8">
                    <c:v>27-Jun-14</c:v>
                  </c:pt>
                  <c:pt idx="9">
                    <c:v>04-Jul-14</c:v>
                  </c:pt>
                  <c:pt idx="10">
                    <c:v>11-Jul-14</c:v>
                  </c:pt>
                  <c:pt idx="11">
                    <c:v>18-Jul-14</c:v>
                  </c:pt>
                  <c:pt idx="12">
                    <c:v>25-Jul-14</c:v>
                  </c:pt>
                  <c:pt idx="13">
                    <c:v>01-Aug-14</c:v>
                  </c:pt>
                  <c:pt idx="14">
                    <c:v>08-Aug-14</c:v>
                  </c:pt>
                  <c:pt idx="15">
                    <c:v>15-Aug-14</c:v>
                  </c:pt>
                  <c:pt idx="16">
                    <c:v>22-Aug-14</c:v>
                  </c:pt>
                  <c:pt idx="17">
                    <c:v>29-Aug-14</c:v>
                  </c:pt>
                  <c:pt idx="18">
                    <c:v>05-Sep-14</c:v>
                  </c:pt>
                  <c:pt idx="19">
                    <c:v>12-Sep-14</c:v>
                  </c:pt>
                  <c:pt idx="20">
                    <c:v>19-Sep-14</c:v>
                  </c:pt>
                  <c:pt idx="21">
                    <c:v>26-Sep-14</c:v>
                  </c:pt>
                  <c:pt idx="22">
                    <c:v>03-Oct-14</c:v>
                  </c:pt>
                  <c:pt idx="23">
                    <c:v>10-Oct-14</c:v>
                  </c:pt>
                  <c:pt idx="24">
                    <c:v>17-Oct-14</c:v>
                  </c:pt>
                  <c:pt idx="25">
                    <c:v>24-Oct-14</c:v>
                  </c:pt>
                  <c:pt idx="26">
                    <c:v>31-Oct-14</c:v>
                  </c:pt>
                  <c:pt idx="27">
                    <c:v>07-Nov-14</c:v>
                  </c:pt>
                  <c:pt idx="28">
                    <c:v>14-Nov-14</c:v>
                  </c:pt>
                  <c:pt idx="29">
                    <c:v>21-Nov-14</c:v>
                  </c:pt>
                  <c:pt idx="30">
                    <c:v>28-Nov-14</c:v>
                  </c:pt>
                  <c:pt idx="31">
                    <c:v>05-Dec-14</c:v>
                  </c:pt>
                  <c:pt idx="32">
                    <c:v>12-Dec-14</c:v>
                  </c:pt>
                  <c:pt idx="33">
                    <c:v>19-Dec-14</c:v>
                  </c:pt>
                  <c:pt idx="34">
                    <c:v>26-Dec-14</c:v>
                  </c:pt>
                  <c:pt idx="35">
                    <c:v>02-Jan-15</c:v>
                  </c:pt>
                  <c:pt idx="36">
                    <c:v>09-Jan-15</c:v>
                  </c:pt>
                  <c:pt idx="37">
                    <c:v>16-Jan-15</c:v>
                  </c:pt>
                  <c:pt idx="38">
                    <c:v>23-Jan-15</c:v>
                  </c:pt>
                  <c:pt idx="39">
                    <c:v>30-Jan-15</c:v>
                  </c:pt>
                  <c:pt idx="40">
                    <c:v>06-Feb-15</c:v>
                  </c:pt>
                  <c:pt idx="41">
                    <c:v>13-Feb-15</c:v>
                  </c:pt>
                  <c:pt idx="42">
                    <c:v>20-Feb-15</c:v>
                  </c:pt>
                  <c:pt idx="43">
                    <c:v>27-Feb-15</c:v>
                  </c:pt>
                  <c:pt idx="44">
                    <c:v>06-Mar-15</c:v>
                  </c:pt>
                  <c:pt idx="45">
                    <c:v>13-Mar-15</c:v>
                  </c:pt>
                  <c:pt idx="46">
                    <c:v>20-Mar-15</c:v>
                  </c:pt>
                  <c:pt idx="47">
                    <c:v>27-Mar-15</c:v>
                  </c:pt>
                  <c:pt idx="48">
                    <c:v>03-Apr-15</c:v>
                  </c:pt>
                  <c:pt idx="49">
                    <c:v>10-Apr-15</c:v>
                  </c:pt>
                  <c:pt idx="50">
                    <c:v>17-Apr-15</c:v>
                  </c:pt>
                  <c:pt idx="51">
                    <c:v>24-Apr-15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weekly'!$J$8:$J$59</c:f>
              <c:numCache>
                <c:ptCount val="52"/>
                <c:pt idx="0">
                  <c:v>3063</c:v>
                </c:pt>
                <c:pt idx="1">
                  <c:v>8989</c:v>
                </c:pt>
                <c:pt idx="2">
                  <c:v>55310</c:v>
                </c:pt>
                <c:pt idx="3">
                  <c:v>56771</c:v>
                </c:pt>
                <c:pt idx="4">
                  <c:v>143296</c:v>
                </c:pt>
                <c:pt idx="5">
                  <c:v>206655</c:v>
                </c:pt>
                <c:pt idx="6">
                  <c:v>244431</c:v>
                </c:pt>
                <c:pt idx="7">
                  <c:v>298312</c:v>
                </c:pt>
                <c:pt idx="8">
                  <c:v>377767</c:v>
                </c:pt>
                <c:pt idx="9">
                  <c:v>458853</c:v>
                </c:pt>
                <c:pt idx="10">
                  <c:v>545799</c:v>
                </c:pt>
                <c:pt idx="11">
                  <c:v>557807</c:v>
                </c:pt>
                <c:pt idx="12">
                  <c:v>652659</c:v>
                </c:pt>
                <c:pt idx="13">
                  <c:v>681013</c:v>
                </c:pt>
                <c:pt idx="14">
                  <c:v>749016</c:v>
                </c:pt>
                <c:pt idx="15">
                  <c:v>833465</c:v>
                </c:pt>
                <c:pt idx="16">
                  <c:v>874352</c:v>
                </c:pt>
                <c:pt idx="17">
                  <c:v>911023</c:v>
                </c:pt>
                <c:pt idx="18">
                  <c:v>944357</c:v>
                </c:pt>
                <c:pt idx="19">
                  <c:v>966212</c:v>
                </c:pt>
                <c:pt idx="20">
                  <c:v>977378</c:v>
                </c:pt>
                <c:pt idx="21">
                  <c:v>985929</c:v>
                </c:pt>
                <c:pt idx="22">
                  <c:v>989741</c:v>
                </c:pt>
                <c:pt idx="23">
                  <c:v>994384</c:v>
                </c:pt>
                <c:pt idx="24">
                  <c:v>1001868</c:v>
                </c:pt>
                <c:pt idx="25">
                  <c:v>1013318</c:v>
                </c:pt>
                <c:pt idx="26">
                  <c:v>1017580</c:v>
                </c:pt>
                <c:pt idx="27">
                  <c:v>1022860</c:v>
                </c:pt>
                <c:pt idx="28">
                  <c:v>1029121</c:v>
                </c:pt>
                <c:pt idx="29">
                  <c:v>1035471</c:v>
                </c:pt>
                <c:pt idx="30">
                  <c:v>1039970</c:v>
                </c:pt>
                <c:pt idx="31">
                  <c:v>1044687</c:v>
                </c:pt>
                <c:pt idx="32">
                  <c:v>1044687</c:v>
                </c:pt>
                <c:pt idx="33">
                  <c:v>1044687</c:v>
                </c:pt>
                <c:pt idx="34">
                  <c:v>1054204</c:v>
                </c:pt>
                <c:pt idx="35">
                  <c:v>1056616</c:v>
                </c:pt>
                <c:pt idx="36">
                  <c:v>1065234</c:v>
                </c:pt>
                <c:pt idx="37">
                  <c:v>1070696</c:v>
                </c:pt>
                <c:pt idx="38">
                  <c:v>1076316</c:v>
                </c:pt>
                <c:pt idx="39">
                  <c:v>1081066</c:v>
                </c:pt>
                <c:pt idx="40">
                  <c:v>1087770</c:v>
                </c:pt>
                <c:pt idx="41">
                  <c:v>1093337</c:v>
                </c:pt>
                <c:pt idx="42">
                  <c:v>1095376</c:v>
                </c:pt>
                <c:pt idx="43">
                  <c:v>1099754</c:v>
                </c:pt>
                <c:pt idx="44">
                  <c:v>1104175</c:v>
                </c:pt>
                <c:pt idx="45">
                  <c:v>1107172</c:v>
                </c:pt>
                <c:pt idx="46">
                  <c:v>1110012</c:v>
                </c:pt>
                <c:pt idx="47">
                  <c:v>1113385</c:v>
                </c:pt>
                <c:pt idx="48">
                  <c:v>1115752</c:v>
                </c:pt>
                <c:pt idx="49">
                  <c:v>1118154</c:v>
                </c:pt>
                <c:pt idx="50">
                  <c:v>1120637</c:v>
                </c:pt>
                <c:pt idx="51">
                  <c:v>1123482</c:v>
                </c:pt>
              </c:numCache>
            </c:numRef>
          </c:val>
          <c:smooth val="0"/>
        </c:ser>
        <c:axId val="33191411"/>
        <c:axId val="30287244"/>
      </c:lineChart>
      <c:catAx>
        <c:axId val="33191411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7244"/>
        <c:crosses val="autoZero"/>
        <c:auto val="1"/>
        <c:lblOffset val="100"/>
        <c:tickLblSkip val="2"/>
        <c:noMultiLvlLbl val="0"/>
      </c:catAx>
      <c:valAx>
        <c:axId val="30287244"/>
        <c:scaling>
          <c:orientation val="minMax"/>
          <c:max val="14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191411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25"/>
          <c:y val="0.9695"/>
          <c:w val="0.805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2014/15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6425"/>
          <c:w val="0.97425"/>
          <c:h val="0.8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'Weekliks-Weekly'!$C$1</c:f>
              <c:strCache>
                <c:ptCount val="1"/>
                <c:pt idx="0">
                  <c:v>SAGIS: WEEKLIKSE INVOERE EN UITVOERE 2014/15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'Weekliks-Weekly'!$A$8:$B$59</c:f>
              <c:multiLvlStrCache>
                <c:ptCount val="52"/>
                <c:lvl>
                  <c:pt idx="0">
                    <c:v>02-May-14</c:v>
                  </c:pt>
                  <c:pt idx="1">
                    <c:v>09-May-14</c:v>
                  </c:pt>
                  <c:pt idx="2">
                    <c:v>16-May-14</c:v>
                  </c:pt>
                  <c:pt idx="3">
                    <c:v>23-May-14</c:v>
                  </c:pt>
                  <c:pt idx="4">
                    <c:v>30-May-14</c:v>
                  </c:pt>
                  <c:pt idx="5">
                    <c:v>06-Jun-14</c:v>
                  </c:pt>
                  <c:pt idx="6">
                    <c:v>13-Jun-14</c:v>
                  </c:pt>
                  <c:pt idx="7">
                    <c:v>20-Jun-14</c:v>
                  </c:pt>
                  <c:pt idx="8">
                    <c:v>27-Jun-14</c:v>
                  </c:pt>
                  <c:pt idx="9">
                    <c:v>04-Jul-14</c:v>
                  </c:pt>
                  <c:pt idx="10">
                    <c:v>11-Jul-14</c:v>
                  </c:pt>
                  <c:pt idx="11">
                    <c:v>18-Jul-14</c:v>
                  </c:pt>
                  <c:pt idx="12">
                    <c:v>25-Jul-14</c:v>
                  </c:pt>
                  <c:pt idx="13">
                    <c:v>01-Aug-14</c:v>
                  </c:pt>
                  <c:pt idx="14">
                    <c:v>08-Aug-14</c:v>
                  </c:pt>
                  <c:pt idx="15">
                    <c:v>15-Aug-14</c:v>
                  </c:pt>
                  <c:pt idx="16">
                    <c:v>22-Aug-14</c:v>
                  </c:pt>
                  <c:pt idx="17">
                    <c:v>29-Aug-14</c:v>
                  </c:pt>
                  <c:pt idx="18">
                    <c:v>05-Sep-14</c:v>
                  </c:pt>
                  <c:pt idx="19">
                    <c:v>12-Sep-14</c:v>
                  </c:pt>
                  <c:pt idx="20">
                    <c:v>19-Sep-14</c:v>
                  </c:pt>
                  <c:pt idx="21">
                    <c:v>26-Sep-14</c:v>
                  </c:pt>
                  <c:pt idx="22">
                    <c:v>03-Oct-14</c:v>
                  </c:pt>
                  <c:pt idx="23">
                    <c:v>10-Oct-14</c:v>
                  </c:pt>
                  <c:pt idx="24">
                    <c:v>17-Oct-14</c:v>
                  </c:pt>
                  <c:pt idx="25">
                    <c:v>24-Oct-14</c:v>
                  </c:pt>
                  <c:pt idx="26">
                    <c:v>31-Oct-14</c:v>
                  </c:pt>
                  <c:pt idx="27">
                    <c:v>07-Nov-14</c:v>
                  </c:pt>
                  <c:pt idx="28">
                    <c:v>14-Nov-14</c:v>
                  </c:pt>
                  <c:pt idx="29">
                    <c:v>21-Nov-14</c:v>
                  </c:pt>
                  <c:pt idx="30">
                    <c:v>28-Nov-14</c:v>
                  </c:pt>
                  <c:pt idx="31">
                    <c:v>05-Dec-14</c:v>
                  </c:pt>
                  <c:pt idx="32">
                    <c:v>12-Dec-14</c:v>
                  </c:pt>
                  <c:pt idx="33">
                    <c:v>19-Dec-14</c:v>
                  </c:pt>
                  <c:pt idx="34">
                    <c:v>26-Dec-14</c:v>
                  </c:pt>
                  <c:pt idx="35">
                    <c:v>02-Jan-15</c:v>
                  </c:pt>
                  <c:pt idx="36">
                    <c:v>09-Jan-15</c:v>
                  </c:pt>
                  <c:pt idx="37">
                    <c:v>16-Jan-15</c:v>
                  </c:pt>
                  <c:pt idx="38">
                    <c:v>23-Jan-15</c:v>
                  </c:pt>
                  <c:pt idx="39">
                    <c:v>30-Jan-15</c:v>
                  </c:pt>
                  <c:pt idx="40">
                    <c:v>06-Feb-15</c:v>
                  </c:pt>
                  <c:pt idx="41">
                    <c:v>13-Feb-15</c:v>
                  </c:pt>
                  <c:pt idx="42">
                    <c:v>20-Feb-15</c:v>
                  </c:pt>
                  <c:pt idx="43">
                    <c:v>27-Feb-15</c:v>
                  </c:pt>
                  <c:pt idx="44">
                    <c:v>06-Mar-15</c:v>
                  </c:pt>
                  <c:pt idx="45">
                    <c:v>13-Mar-15</c:v>
                  </c:pt>
                  <c:pt idx="46">
                    <c:v>20-Mar-15</c:v>
                  </c:pt>
                  <c:pt idx="47">
                    <c:v>27-Mar-15</c:v>
                  </c:pt>
                  <c:pt idx="48">
                    <c:v>03-Apr-15</c:v>
                  </c:pt>
                  <c:pt idx="49">
                    <c:v>10-Apr-15</c:v>
                  </c:pt>
                  <c:pt idx="50">
                    <c:v>17-Apr-15</c:v>
                  </c:pt>
                  <c:pt idx="51">
                    <c:v>24-Apr-15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'Weekliks-Weekly'!$I$8:$I$59</c:f>
              <c:numCache>
                <c:ptCount val="52"/>
                <c:pt idx="0">
                  <c:v>2770</c:v>
                </c:pt>
                <c:pt idx="1">
                  <c:v>8092</c:v>
                </c:pt>
                <c:pt idx="2">
                  <c:v>13142</c:v>
                </c:pt>
                <c:pt idx="3">
                  <c:v>19663</c:v>
                </c:pt>
                <c:pt idx="4">
                  <c:v>34863</c:v>
                </c:pt>
                <c:pt idx="5">
                  <c:v>50660</c:v>
                </c:pt>
                <c:pt idx="6">
                  <c:v>62749</c:v>
                </c:pt>
                <c:pt idx="7">
                  <c:v>73721</c:v>
                </c:pt>
                <c:pt idx="8">
                  <c:v>89785</c:v>
                </c:pt>
                <c:pt idx="9">
                  <c:v>97850</c:v>
                </c:pt>
                <c:pt idx="10">
                  <c:v>106254</c:v>
                </c:pt>
                <c:pt idx="11">
                  <c:v>121327</c:v>
                </c:pt>
                <c:pt idx="12">
                  <c:v>139869</c:v>
                </c:pt>
                <c:pt idx="13">
                  <c:v>149603</c:v>
                </c:pt>
                <c:pt idx="14">
                  <c:v>158838</c:v>
                </c:pt>
                <c:pt idx="15">
                  <c:v>169366</c:v>
                </c:pt>
                <c:pt idx="16">
                  <c:v>179852</c:v>
                </c:pt>
                <c:pt idx="17">
                  <c:v>190268</c:v>
                </c:pt>
                <c:pt idx="18">
                  <c:v>199905</c:v>
                </c:pt>
                <c:pt idx="19">
                  <c:v>210781</c:v>
                </c:pt>
                <c:pt idx="20">
                  <c:v>218335</c:v>
                </c:pt>
                <c:pt idx="21">
                  <c:v>226973</c:v>
                </c:pt>
                <c:pt idx="22">
                  <c:v>236118</c:v>
                </c:pt>
                <c:pt idx="23">
                  <c:v>243233</c:v>
                </c:pt>
                <c:pt idx="24">
                  <c:v>251768</c:v>
                </c:pt>
                <c:pt idx="25">
                  <c:v>262958</c:v>
                </c:pt>
                <c:pt idx="26">
                  <c:v>275663</c:v>
                </c:pt>
                <c:pt idx="27">
                  <c:v>287211</c:v>
                </c:pt>
                <c:pt idx="28">
                  <c:v>295362</c:v>
                </c:pt>
                <c:pt idx="29">
                  <c:v>306465</c:v>
                </c:pt>
                <c:pt idx="30">
                  <c:v>316744</c:v>
                </c:pt>
                <c:pt idx="31">
                  <c:v>327939</c:v>
                </c:pt>
                <c:pt idx="32">
                  <c:v>327939</c:v>
                </c:pt>
                <c:pt idx="33">
                  <c:v>327939</c:v>
                </c:pt>
                <c:pt idx="34">
                  <c:v>355884</c:v>
                </c:pt>
                <c:pt idx="35">
                  <c:v>362001</c:v>
                </c:pt>
                <c:pt idx="36">
                  <c:v>372326</c:v>
                </c:pt>
                <c:pt idx="37">
                  <c:v>387089</c:v>
                </c:pt>
                <c:pt idx="38">
                  <c:v>398854</c:v>
                </c:pt>
                <c:pt idx="39">
                  <c:v>408054</c:v>
                </c:pt>
                <c:pt idx="40">
                  <c:v>418160</c:v>
                </c:pt>
                <c:pt idx="41">
                  <c:v>427696</c:v>
                </c:pt>
                <c:pt idx="42">
                  <c:v>443856</c:v>
                </c:pt>
                <c:pt idx="43">
                  <c:v>454692</c:v>
                </c:pt>
                <c:pt idx="44">
                  <c:v>465639</c:v>
                </c:pt>
                <c:pt idx="45">
                  <c:v>475243</c:v>
                </c:pt>
                <c:pt idx="46">
                  <c:v>486809</c:v>
                </c:pt>
                <c:pt idx="47">
                  <c:v>500004</c:v>
                </c:pt>
                <c:pt idx="48">
                  <c:v>506415</c:v>
                </c:pt>
                <c:pt idx="49">
                  <c:v>516279</c:v>
                </c:pt>
                <c:pt idx="50">
                  <c:v>526992</c:v>
                </c:pt>
                <c:pt idx="51">
                  <c:v>536014</c:v>
                </c:pt>
              </c:numCache>
            </c:numRef>
          </c:val>
        </c:ser>
        <c:overlap val="-25"/>
        <c:gapWidth val="75"/>
        <c:axId val="4149741"/>
        <c:axId val="37347670"/>
      </c:barChart>
      <c:lineChart>
        <c:grouping val="standard"/>
        <c:varyColors val="0"/>
        <c:ser>
          <c:idx val="0"/>
          <c:order val="1"/>
          <c:tx>
            <c:strRef>
              <c:f>'Previous weekly'!$C$1</c:f>
              <c:strCache>
                <c:ptCount val="1"/>
                <c:pt idx="0">
                  <c:v>SAGIS: WEEKLIKSE INVOERE EN UITVOERE 2013/14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02-May-14</c:v>
                  </c:pt>
                  <c:pt idx="1">
                    <c:v>09-May-14</c:v>
                  </c:pt>
                  <c:pt idx="2">
                    <c:v>16-May-14</c:v>
                  </c:pt>
                  <c:pt idx="3">
                    <c:v>23-May-14</c:v>
                  </c:pt>
                  <c:pt idx="4">
                    <c:v>30-May-14</c:v>
                  </c:pt>
                  <c:pt idx="5">
                    <c:v>06-Jun-14</c:v>
                  </c:pt>
                  <c:pt idx="6">
                    <c:v>13-Jun-14</c:v>
                  </c:pt>
                  <c:pt idx="7">
                    <c:v>20-Jun-14</c:v>
                  </c:pt>
                  <c:pt idx="8">
                    <c:v>27-Jun-14</c:v>
                  </c:pt>
                  <c:pt idx="9">
                    <c:v>04-Jul-14</c:v>
                  </c:pt>
                  <c:pt idx="10">
                    <c:v>11-Jul-14</c:v>
                  </c:pt>
                  <c:pt idx="11">
                    <c:v>18-Jul-14</c:v>
                  </c:pt>
                  <c:pt idx="12">
                    <c:v>25-Jul-14</c:v>
                  </c:pt>
                  <c:pt idx="13">
                    <c:v>01-Aug-14</c:v>
                  </c:pt>
                  <c:pt idx="14">
                    <c:v>08-Aug-14</c:v>
                  </c:pt>
                  <c:pt idx="15">
                    <c:v>15-Aug-14</c:v>
                  </c:pt>
                  <c:pt idx="16">
                    <c:v>22-Aug-14</c:v>
                  </c:pt>
                  <c:pt idx="17">
                    <c:v>29-Aug-14</c:v>
                  </c:pt>
                  <c:pt idx="18">
                    <c:v>05-Sep-14</c:v>
                  </c:pt>
                  <c:pt idx="19">
                    <c:v>12-Sep-14</c:v>
                  </c:pt>
                  <c:pt idx="20">
                    <c:v>19-Sep-14</c:v>
                  </c:pt>
                  <c:pt idx="21">
                    <c:v>26-Sep-14</c:v>
                  </c:pt>
                  <c:pt idx="22">
                    <c:v>03-Oct-14</c:v>
                  </c:pt>
                  <c:pt idx="23">
                    <c:v>10-Oct-14</c:v>
                  </c:pt>
                  <c:pt idx="24">
                    <c:v>17-Oct-14</c:v>
                  </c:pt>
                  <c:pt idx="25">
                    <c:v>24-Oct-14</c:v>
                  </c:pt>
                  <c:pt idx="26">
                    <c:v>31-Oct-14</c:v>
                  </c:pt>
                  <c:pt idx="27">
                    <c:v>07-Nov-14</c:v>
                  </c:pt>
                  <c:pt idx="28">
                    <c:v>14-Nov-14</c:v>
                  </c:pt>
                  <c:pt idx="29">
                    <c:v>21-Nov-14</c:v>
                  </c:pt>
                  <c:pt idx="30">
                    <c:v>28-Nov-14</c:v>
                  </c:pt>
                  <c:pt idx="31">
                    <c:v>05-Dec-14</c:v>
                  </c:pt>
                  <c:pt idx="32">
                    <c:v>12-Dec-14</c:v>
                  </c:pt>
                  <c:pt idx="33">
                    <c:v>19-Dec-14</c:v>
                  </c:pt>
                  <c:pt idx="34">
                    <c:v>26-Dec-14</c:v>
                  </c:pt>
                  <c:pt idx="35">
                    <c:v>02-Jan-15</c:v>
                  </c:pt>
                  <c:pt idx="36">
                    <c:v>09-Jan-15</c:v>
                  </c:pt>
                  <c:pt idx="37">
                    <c:v>16-Jan-15</c:v>
                  </c:pt>
                  <c:pt idx="38">
                    <c:v>23-Jan-15</c:v>
                  </c:pt>
                  <c:pt idx="39">
                    <c:v>30-Jan-15</c:v>
                  </c:pt>
                  <c:pt idx="40">
                    <c:v>06-Feb-15</c:v>
                  </c:pt>
                  <c:pt idx="41">
                    <c:v>13-Feb-15</c:v>
                  </c:pt>
                  <c:pt idx="42">
                    <c:v>20-Feb-15</c:v>
                  </c:pt>
                  <c:pt idx="43">
                    <c:v>27-Feb-15</c:v>
                  </c:pt>
                  <c:pt idx="44">
                    <c:v>06-Mar-15</c:v>
                  </c:pt>
                  <c:pt idx="45">
                    <c:v>13-Mar-15</c:v>
                  </c:pt>
                  <c:pt idx="46">
                    <c:v>20-Mar-15</c:v>
                  </c:pt>
                  <c:pt idx="47">
                    <c:v>27-Mar-15</c:v>
                  </c:pt>
                  <c:pt idx="48">
                    <c:v>03-Apr-15</c:v>
                  </c:pt>
                  <c:pt idx="49">
                    <c:v>10-Apr-15</c:v>
                  </c:pt>
                  <c:pt idx="50">
                    <c:v>17-Apr-15</c:v>
                  </c:pt>
                  <c:pt idx="51">
                    <c:v>24-Apr-15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weekly'!$I$8:$I$59</c:f>
              <c:numCache>
                <c:ptCount val="52"/>
                <c:pt idx="0">
                  <c:v>9285</c:v>
                </c:pt>
                <c:pt idx="1">
                  <c:v>22584</c:v>
                </c:pt>
                <c:pt idx="2">
                  <c:v>36198</c:v>
                </c:pt>
                <c:pt idx="3">
                  <c:v>82352</c:v>
                </c:pt>
                <c:pt idx="4">
                  <c:v>90558</c:v>
                </c:pt>
                <c:pt idx="5">
                  <c:v>95033</c:v>
                </c:pt>
                <c:pt idx="6">
                  <c:v>100588</c:v>
                </c:pt>
                <c:pt idx="7">
                  <c:v>105102</c:v>
                </c:pt>
                <c:pt idx="8">
                  <c:v>145167</c:v>
                </c:pt>
                <c:pt idx="9">
                  <c:v>158624</c:v>
                </c:pt>
                <c:pt idx="10">
                  <c:v>163815</c:v>
                </c:pt>
                <c:pt idx="11">
                  <c:v>173231</c:v>
                </c:pt>
                <c:pt idx="12">
                  <c:v>220093</c:v>
                </c:pt>
                <c:pt idx="13">
                  <c:v>230044</c:v>
                </c:pt>
                <c:pt idx="14">
                  <c:v>267857</c:v>
                </c:pt>
                <c:pt idx="15">
                  <c:v>284437</c:v>
                </c:pt>
                <c:pt idx="16">
                  <c:v>295710</c:v>
                </c:pt>
                <c:pt idx="17">
                  <c:v>312892</c:v>
                </c:pt>
                <c:pt idx="18">
                  <c:v>350620</c:v>
                </c:pt>
                <c:pt idx="19">
                  <c:v>390437</c:v>
                </c:pt>
                <c:pt idx="20">
                  <c:v>406543</c:v>
                </c:pt>
                <c:pt idx="21">
                  <c:v>422792</c:v>
                </c:pt>
                <c:pt idx="22">
                  <c:v>437173</c:v>
                </c:pt>
                <c:pt idx="23">
                  <c:v>453717</c:v>
                </c:pt>
                <c:pt idx="24">
                  <c:v>473278</c:v>
                </c:pt>
                <c:pt idx="25">
                  <c:v>489457</c:v>
                </c:pt>
                <c:pt idx="26">
                  <c:v>508223</c:v>
                </c:pt>
                <c:pt idx="27">
                  <c:v>524167</c:v>
                </c:pt>
                <c:pt idx="28">
                  <c:v>539303</c:v>
                </c:pt>
                <c:pt idx="29">
                  <c:v>557565</c:v>
                </c:pt>
                <c:pt idx="30">
                  <c:v>577562</c:v>
                </c:pt>
                <c:pt idx="31">
                  <c:v>596283</c:v>
                </c:pt>
                <c:pt idx="32">
                  <c:v>596283</c:v>
                </c:pt>
                <c:pt idx="33">
                  <c:v>596283</c:v>
                </c:pt>
                <c:pt idx="34">
                  <c:v>631833</c:v>
                </c:pt>
                <c:pt idx="35">
                  <c:v>636856</c:v>
                </c:pt>
                <c:pt idx="36">
                  <c:v>654557</c:v>
                </c:pt>
                <c:pt idx="37">
                  <c:v>674273</c:v>
                </c:pt>
                <c:pt idx="38">
                  <c:v>693372</c:v>
                </c:pt>
                <c:pt idx="39">
                  <c:v>707586</c:v>
                </c:pt>
                <c:pt idx="40">
                  <c:v>728617</c:v>
                </c:pt>
                <c:pt idx="41">
                  <c:v>745215</c:v>
                </c:pt>
                <c:pt idx="42">
                  <c:v>763561</c:v>
                </c:pt>
                <c:pt idx="43">
                  <c:v>778317</c:v>
                </c:pt>
                <c:pt idx="44">
                  <c:v>794036</c:v>
                </c:pt>
                <c:pt idx="45">
                  <c:v>817145</c:v>
                </c:pt>
                <c:pt idx="46">
                  <c:v>834712</c:v>
                </c:pt>
                <c:pt idx="47">
                  <c:v>850531</c:v>
                </c:pt>
                <c:pt idx="48">
                  <c:v>865704</c:v>
                </c:pt>
                <c:pt idx="49">
                  <c:v>880955</c:v>
                </c:pt>
                <c:pt idx="50">
                  <c:v>892349</c:v>
                </c:pt>
                <c:pt idx="51">
                  <c:v>901227</c:v>
                </c:pt>
              </c:numCache>
            </c:numRef>
          </c:val>
          <c:smooth val="0"/>
        </c:ser>
        <c:axId val="4149741"/>
        <c:axId val="37347670"/>
      </c:lineChart>
      <c:catAx>
        <c:axId val="4149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47670"/>
        <c:crosses val="autoZero"/>
        <c:auto val="1"/>
        <c:lblOffset val="100"/>
        <c:tickLblSkip val="1"/>
        <c:noMultiLvlLbl val="0"/>
      </c:catAx>
      <c:valAx>
        <c:axId val="37347670"/>
        <c:scaling>
          <c:orientation val="minMax"/>
          <c:max val="9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9741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"/>
          <c:y val="0.95825"/>
          <c:w val="0.8055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2014/15</a:t>
            </a:r>
          </a:p>
        </c:rich>
      </c:tx>
      <c:layout>
        <c:manualLayout>
          <c:xMode val="factor"/>
          <c:yMode val="factor"/>
          <c:x val="-0.0532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925"/>
          <c:w val="0.9535"/>
          <c:h val="0.83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'Weekliks-Weekly'!$C$1</c:f>
              <c:strCache>
                <c:ptCount val="1"/>
                <c:pt idx="0">
                  <c:v>SAGIS: WEEKLIKSE INVOERE EN UITVOERE 2014/15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'Weekliks-Weekly'!$A$8:$B$59</c:f>
              <c:multiLvlStrCache>
                <c:ptCount val="52"/>
                <c:lvl>
                  <c:pt idx="0">
                    <c:v>02-May-14</c:v>
                  </c:pt>
                  <c:pt idx="1">
                    <c:v>09-May-14</c:v>
                  </c:pt>
                  <c:pt idx="2">
                    <c:v>16-May-14</c:v>
                  </c:pt>
                  <c:pt idx="3">
                    <c:v>23-May-14</c:v>
                  </c:pt>
                  <c:pt idx="4">
                    <c:v>30-May-14</c:v>
                  </c:pt>
                  <c:pt idx="5">
                    <c:v>06-Jun-14</c:v>
                  </c:pt>
                  <c:pt idx="6">
                    <c:v>13-Jun-14</c:v>
                  </c:pt>
                  <c:pt idx="7">
                    <c:v>20-Jun-14</c:v>
                  </c:pt>
                  <c:pt idx="8">
                    <c:v>27-Jun-14</c:v>
                  </c:pt>
                  <c:pt idx="9">
                    <c:v>04-Jul-14</c:v>
                  </c:pt>
                  <c:pt idx="10">
                    <c:v>11-Jul-14</c:v>
                  </c:pt>
                  <c:pt idx="11">
                    <c:v>18-Jul-14</c:v>
                  </c:pt>
                  <c:pt idx="12">
                    <c:v>25-Jul-14</c:v>
                  </c:pt>
                  <c:pt idx="13">
                    <c:v>01-Aug-14</c:v>
                  </c:pt>
                  <c:pt idx="14">
                    <c:v>08-Aug-14</c:v>
                  </c:pt>
                  <c:pt idx="15">
                    <c:v>15-Aug-14</c:v>
                  </c:pt>
                  <c:pt idx="16">
                    <c:v>22-Aug-14</c:v>
                  </c:pt>
                  <c:pt idx="17">
                    <c:v>29-Aug-14</c:v>
                  </c:pt>
                  <c:pt idx="18">
                    <c:v>05-Sep-14</c:v>
                  </c:pt>
                  <c:pt idx="19">
                    <c:v>12-Sep-14</c:v>
                  </c:pt>
                  <c:pt idx="20">
                    <c:v>19-Sep-14</c:v>
                  </c:pt>
                  <c:pt idx="21">
                    <c:v>26-Sep-14</c:v>
                  </c:pt>
                  <c:pt idx="22">
                    <c:v>03-Oct-14</c:v>
                  </c:pt>
                  <c:pt idx="23">
                    <c:v>10-Oct-14</c:v>
                  </c:pt>
                  <c:pt idx="24">
                    <c:v>17-Oct-14</c:v>
                  </c:pt>
                  <c:pt idx="25">
                    <c:v>24-Oct-14</c:v>
                  </c:pt>
                  <c:pt idx="26">
                    <c:v>31-Oct-14</c:v>
                  </c:pt>
                  <c:pt idx="27">
                    <c:v>07-Nov-14</c:v>
                  </c:pt>
                  <c:pt idx="28">
                    <c:v>14-Nov-14</c:v>
                  </c:pt>
                  <c:pt idx="29">
                    <c:v>21-Nov-14</c:v>
                  </c:pt>
                  <c:pt idx="30">
                    <c:v>28-Nov-14</c:v>
                  </c:pt>
                  <c:pt idx="31">
                    <c:v>05-Dec-14</c:v>
                  </c:pt>
                  <c:pt idx="32">
                    <c:v>12-Dec-14</c:v>
                  </c:pt>
                  <c:pt idx="33">
                    <c:v>19-Dec-14</c:v>
                  </c:pt>
                  <c:pt idx="34">
                    <c:v>26-Dec-14</c:v>
                  </c:pt>
                  <c:pt idx="35">
                    <c:v>02-Jan-15</c:v>
                  </c:pt>
                  <c:pt idx="36">
                    <c:v>09-Jan-15</c:v>
                  </c:pt>
                  <c:pt idx="37">
                    <c:v>16-Jan-15</c:v>
                  </c:pt>
                  <c:pt idx="38">
                    <c:v>23-Jan-15</c:v>
                  </c:pt>
                  <c:pt idx="39">
                    <c:v>30-Jan-15</c:v>
                  </c:pt>
                  <c:pt idx="40">
                    <c:v>06-Feb-15</c:v>
                  </c:pt>
                  <c:pt idx="41">
                    <c:v>13-Feb-15</c:v>
                  </c:pt>
                  <c:pt idx="42">
                    <c:v>20-Feb-15</c:v>
                  </c:pt>
                  <c:pt idx="43">
                    <c:v>27-Feb-15</c:v>
                  </c:pt>
                  <c:pt idx="44">
                    <c:v>06-Mar-15</c:v>
                  </c:pt>
                  <c:pt idx="45">
                    <c:v>13-Mar-15</c:v>
                  </c:pt>
                  <c:pt idx="46">
                    <c:v>20-Mar-15</c:v>
                  </c:pt>
                  <c:pt idx="47">
                    <c:v>27-Mar-15</c:v>
                  </c:pt>
                  <c:pt idx="48">
                    <c:v>03-Apr-15</c:v>
                  </c:pt>
                  <c:pt idx="49">
                    <c:v>10-Apr-15</c:v>
                  </c:pt>
                  <c:pt idx="50">
                    <c:v>17-Apr-15</c:v>
                  </c:pt>
                  <c:pt idx="51">
                    <c:v>24-Apr-15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'Weekliks-Weekly'!$N$8:$N$59</c:f>
              <c:numCache>
                <c:ptCount val="52"/>
                <c:pt idx="0">
                  <c:v>4468</c:v>
                </c:pt>
                <c:pt idx="1">
                  <c:v>12175</c:v>
                </c:pt>
                <c:pt idx="2">
                  <c:v>21441</c:v>
                </c:pt>
                <c:pt idx="3">
                  <c:v>32218</c:v>
                </c:pt>
                <c:pt idx="4">
                  <c:v>52992</c:v>
                </c:pt>
                <c:pt idx="5">
                  <c:v>102643</c:v>
                </c:pt>
                <c:pt idx="6">
                  <c:v>136187</c:v>
                </c:pt>
                <c:pt idx="7">
                  <c:v>203447</c:v>
                </c:pt>
                <c:pt idx="8">
                  <c:v>313167</c:v>
                </c:pt>
                <c:pt idx="9">
                  <c:v>375808</c:v>
                </c:pt>
                <c:pt idx="10">
                  <c:v>476746</c:v>
                </c:pt>
                <c:pt idx="11">
                  <c:v>614758</c:v>
                </c:pt>
                <c:pt idx="12">
                  <c:v>728804</c:v>
                </c:pt>
                <c:pt idx="13">
                  <c:v>835730</c:v>
                </c:pt>
                <c:pt idx="14">
                  <c:v>915562</c:v>
                </c:pt>
                <c:pt idx="15">
                  <c:v>1045665</c:v>
                </c:pt>
                <c:pt idx="16">
                  <c:v>1111912</c:v>
                </c:pt>
                <c:pt idx="17">
                  <c:v>1174338</c:v>
                </c:pt>
                <c:pt idx="18">
                  <c:v>1211569</c:v>
                </c:pt>
                <c:pt idx="19">
                  <c:v>1267616</c:v>
                </c:pt>
                <c:pt idx="20">
                  <c:v>1333909</c:v>
                </c:pt>
                <c:pt idx="21">
                  <c:v>1438060</c:v>
                </c:pt>
                <c:pt idx="22">
                  <c:v>1491819</c:v>
                </c:pt>
                <c:pt idx="23">
                  <c:v>1513668</c:v>
                </c:pt>
                <c:pt idx="24">
                  <c:v>1528822</c:v>
                </c:pt>
                <c:pt idx="25">
                  <c:v>1589216</c:v>
                </c:pt>
                <c:pt idx="26">
                  <c:v>1605898</c:v>
                </c:pt>
                <c:pt idx="27">
                  <c:v>1619979</c:v>
                </c:pt>
                <c:pt idx="28">
                  <c:v>1632750</c:v>
                </c:pt>
                <c:pt idx="29">
                  <c:v>1647595</c:v>
                </c:pt>
                <c:pt idx="30">
                  <c:v>1660758</c:v>
                </c:pt>
                <c:pt idx="31">
                  <c:v>1674674</c:v>
                </c:pt>
                <c:pt idx="32">
                  <c:v>1674674</c:v>
                </c:pt>
                <c:pt idx="33">
                  <c:v>1674674</c:v>
                </c:pt>
                <c:pt idx="34">
                  <c:v>1712523</c:v>
                </c:pt>
                <c:pt idx="35">
                  <c:v>1720556</c:v>
                </c:pt>
                <c:pt idx="36">
                  <c:v>1733558</c:v>
                </c:pt>
                <c:pt idx="37">
                  <c:v>1750668</c:v>
                </c:pt>
                <c:pt idx="38">
                  <c:v>1764992</c:v>
                </c:pt>
                <c:pt idx="39">
                  <c:v>1778103</c:v>
                </c:pt>
                <c:pt idx="40">
                  <c:v>1791310</c:v>
                </c:pt>
                <c:pt idx="41">
                  <c:v>1804258</c:v>
                </c:pt>
                <c:pt idx="42">
                  <c:v>1822520</c:v>
                </c:pt>
                <c:pt idx="43">
                  <c:v>1836499</c:v>
                </c:pt>
                <c:pt idx="44">
                  <c:v>1850878</c:v>
                </c:pt>
                <c:pt idx="45">
                  <c:v>1863105</c:v>
                </c:pt>
                <c:pt idx="46">
                  <c:v>1877729</c:v>
                </c:pt>
                <c:pt idx="47">
                  <c:v>1894122</c:v>
                </c:pt>
                <c:pt idx="48">
                  <c:v>1901786</c:v>
                </c:pt>
                <c:pt idx="49">
                  <c:v>1912838</c:v>
                </c:pt>
                <c:pt idx="50">
                  <c:v>1926509</c:v>
                </c:pt>
                <c:pt idx="51">
                  <c:v>1939283</c:v>
                </c:pt>
              </c:numCache>
            </c:numRef>
          </c:val>
        </c:ser>
        <c:gapWidth val="74"/>
        <c:axId val="584711"/>
        <c:axId val="5262400"/>
      </c:barChart>
      <c:lineChart>
        <c:grouping val="standard"/>
        <c:varyColors val="0"/>
        <c:ser>
          <c:idx val="0"/>
          <c:order val="1"/>
          <c:tx>
            <c:strRef>
              <c:f>'Previous weekly'!$C$1</c:f>
              <c:strCache>
                <c:ptCount val="1"/>
                <c:pt idx="0">
                  <c:v>SAGIS: WEEKLIKSE INVOERE EN UITVOERE 2013/14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02-May-14</c:v>
                  </c:pt>
                  <c:pt idx="1">
                    <c:v>09-May-14</c:v>
                  </c:pt>
                  <c:pt idx="2">
                    <c:v>16-May-14</c:v>
                  </c:pt>
                  <c:pt idx="3">
                    <c:v>23-May-14</c:v>
                  </c:pt>
                  <c:pt idx="4">
                    <c:v>30-May-14</c:v>
                  </c:pt>
                  <c:pt idx="5">
                    <c:v>06-Jun-14</c:v>
                  </c:pt>
                  <c:pt idx="6">
                    <c:v>13-Jun-14</c:v>
                  </c:pt>
                  <c:pt idx="7">
                    <c:v>20-Jun-14</c:v>
                  </c:pt>
                  <c:pt idx="8">
                    <c:v>27-Jun-14</c:v>
                  </c:pt>
                  <c:pt idx="9">
                    <c:v>04-Jul-14</c:v>
                  </c:pt>
                  <c:pt idx="10">
                    <c:v>11-Jul-14</c:v>
                  </c:pt>
                  <c:pt idx="11">
                    <c:v>18-Jul-14</c:v>
                  </c:pt>
                  <c:pt idx="12">
                    <c:v>25-Jul-14</c:v>
                  </c:pt>
                  <c:pt idx="13">
                    <c:v>01-Aug-14</c:v>
                  </c:pt>
                  <c:pt idx="14">
                    <c:v>08-Aug-14</c:v>
                  </c:pt>
                  <c:pt idx="15">
                    <c:v>15-Aug-14</c:v>
                  </c:pt>
                  <c:pt idx="16">
                    <c:v>22-Aug-14</c:v>
                  </c:pt>
                  <c:pt idx="17">
                    <c:v>29-Aug-14</c:v>
                  </c:pt>
                  <c:pt idx="18">
                    <c:v>05-Sep-14</c:v>
                  </c:pt>
                  <c:pt idx="19">
                    <c:v>12-Sep-14</c:v>
                  </c:pt>
                  <c:pt idx="20">
                    <c:v>19-Sep-14</c:v>
                  </c:pt>
                  <c:pt idx="21">
                    <c:v>26-Sep-14</c:v>
                  </c:pt>
                  <c:pt idx="22">
                    <c:v>03-Oct-14</c:v>
                  </c:pt>
                  <c:pt idx="23">
                    <c:v>10-Oct-14</c:v>
                  </c:pt>
                  <c:pt idx="24">
                    <c:v>17-Oct-14</c:v>
                  </c:pt>
                  <c:pt idx="25">
                    <c:v>24-Oct-14</c:v>
                  </c:pt>
                  <c:pt idx="26">
                    <c:v>31-Oct-14</c:v>
                  </c:pt>
                  <c:pt idx="27">
                    <c:v>07-Nov-14</c:v>
                  </c:pt>
                  <c:pt idx="28">
                    <c:v>14-Nov-14</c:v>
                  </c:pt>
                  <c:pt idx="29">
                    <c:v>21-Nov-14</c:v>
                  </c:pt>
                  <c:pt idx="30">
                    <c:v>28-Nov-14</c:v>
                  </c:pt>
                  <c:pt idx="31">
                    <c:v>05-Dec-14</c:v>
                  </c:pt>
                  <c:pt idx="32">
                    <c:v>12-Dec-14</c:v>
                  </c:pt>
                  <c:pt idx="33">
                    <c:v>19-Dec-14</c:v>
                  </c:pt>
                  <c:pt idx="34">
                    <c:v>26-Dec-14</c:v>
                  </c:pt>
                  <c:pt idx="35">
                    <c:v>02-Jan-15</c:v>
                  </c:pt>
                  <c:pt idx="36">
                    <c:v>09-Jan-15</c:v>
                  </c:pt>
                  <c:pt idx="37">
                    <c:v>16-Jan-15</c:v>
                  </c:pt>
                  <c:pt idx="38">
                    <c:v>23-Jan-15</c:v>
                  </c:pt>
                  <c:pt idx="39">
                    <c:v>30-Jan-15</c:v>
                  </c:pt>
                  <c:pt idx="40">
                    <c:v>06-Feb-15</c:v>
                  </c:pt>
                  <c:pt idx="41">
                    <c:v>13-Feb-15</c:v>
                  </c:pt>
                  <c:pt idx="42">
                    <c:v>20-Feb-15</c:v>
                  </c:pt>
                  <c:pt idx="43">
                    <c:v>27-Feb-15</c:v>
                  </c:pt>
                  <c:pt idx="44">
                    <c:v>06-Mar-15</c:v>
                  </c:pt>
                  <c:pt idx="45">
                    <c:v>13-Mar-15</c:v>
                  </c:pt>
                  <c:pt idx="46">
                    <c:v>20-Mar-15</c:v>
                  </c:pt>
                  <c:pt idx="47">
                    <c:v>27-Mar-15</c:v>
                  </c:pt>
                  <c:pt idx="48">
                    <c:v>03-Apr-15</c:v>
                  </c:pt>
                  <c:pt idx="49">
                    <c:v>10-Apr-15</c:v>
                  </c:pt>
                  <c:pt idx="50">
                    <c:v>17-Apr-15</c:v>
                  </c:pt>
                  <c:pt idx="51">
                    <c:v>24-Apr-15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weekly'!$N$8:$N$59</c:f>
              <c:numCache>
                <c:ptCount val="52"/>
                <c:pt idx="0">
                  <c:v>12348</c:v>
                </c:pt>
                <c:pt idx="1">
                  <c:v>31573</c:v>
                </c:pt>
                <c:pt idx="2">
                  <c:v>91508</c:v>
                </c:pt>
                <c:pt idx="3">
                  <c:v>139123</c:v>
                </c:pt>
                <c:pt idx="4">
                  <c:v>233854</c:v>
                </c:pt>
                <c:pt idx="5">
                  <c:v>301688</c:v>
                </c:pt>
                <c:pt idx="6">
                  <c:v>345019</c:v>
                </c:pt>
                <c:pt idx="7">
                  <c:v>403414</c:v>
                </c:pt>
                <c:pt idx="8">
                  <c:v>522934</c:v>
                </c:pt>
                <c:pt idx="9">
                  <c:v>617477</c:v>
                </c:pt>
                <c:pt idx="10">
                  <c:v>709614</c:v>
                </c:pt>
                <c:pt idx="11">
                  <c:v>731038</c:v>
                </c:pt>
                <c:pt idx="12">
                  <c:v>872752</c:v>
                </c:pt>
                <c:pt idx="13">
                  <c:v>911057</c:v>
                </c:pt>
                <c:pt idx="14">
                  <c:v>1016873</c:v>
                </c:pt>
                <c:pt idx="15">
                  <c:v>1117902</c:v>
                </c:pt>
                <c:pt idx="16">
                  <c:v>1170062</c:v>
                </c:pt>
                <c:pt idx="17">
                  <c:v>1223915</c:v>
                </c:pt>
                <c:pt idx="18">
                  <c:v>1294977</c:v>
                </c:pt>
                <c:pt idx="19">
                  <c:v>1356649</c:v>
                </c:pt>
                <c:pt idx="20">
                  <c:v>1383921</c:v>
                </c:pt>
                <c:pt idx="21">
                  <c:v>1408721</c:v>
                </c:pt>
                <c:pt idx="22">
                  <c:v>1426914</c:v>
                </c:pt>
                <c:pt idx="23">
                  <c:v>1448101</c:v>
                </c:pt>
                <c:pt idx="24">
                  <c:v>1475146</c:v>
                </c:pt>
                <c:pt idx="25">
                  <c:v>1502775</c:v>
                </c:pt>
                <c:pt idx="26">
                  <c:v>1525803</c:v>
                </c:pt>
                <c:pt idx="27">
                  <c:v>1547027</c:v>
                </c:pt>
                <c:pt idx="28">
                  <c:v>1568424</c:v>
                </c:pt>
                <c:pt idx="29">
                  <c:v>1593036</c:v>
                </c:pt>
                <c:pt idx="30">
                  <c:v>1617532</c:v>
                </c:pt>
                <c:pt idx="31">
                  <c:v>1640970</c:v>
                </c:pt>
                <c:pt idx="32">
                  <c:v>1640970</c:v>
                </c:pt>
                <c:pt idx="33">
                  <c:v>1640970</c:v>
                </c:pt>
                <c:pt idx="34">
                  <c:v>1686037</c:v>
                </c:pt>
                <c:pt idx="35">
                  <c:v>1693472</c:v>
                </c:pt>
                <c:pt idx="36">
                  <c:v>1719791</c:v>
                </c:pt>
                <c:pt idx="37">
                  <c:v>1744969</c:v>
                </c:pt>
                <c:pt idx="38">
                  <c:v>1769688</c:v>
                </c:pt>
                <c:pt idx="39">
                  <c:v>1788652</c:v>
                </c:pt>
                <c:pt idx="40">
                  <c:v>1816387</c:v>
                </c:pt>
                <c:pt idx="41">
                  <c:v>1838552</c:v>
                </c:pt>
                <c:pt idx="42">
                  <c:v>1858937</c:v>
                </c:pt>
                <c:pt idx="43">
                  <c:v>1878071</c:v>
                </c:pt>
                <c:pt idx="44">
                  <c:v>1898211</c:v>
                </c:pt>
                <c:pt idx="45">
                  <c:v>1924317</c:v>
                </c:pt>
                <c:pt idx="46">
                  <c:v>1944724</c:v>
                </c:pt>
                <c:pt idx="47">
                  <c:v>1963916</c:v>
                </c:pt>
                <c:pt idx="48">
                  <c:v>1981456</c:v>
                </c:pt>
                <c:pt idx="49">
                  <c:v>1999109</c:v>
                </c:pt>
                <c:pt idx="50">
                  <c:v>2012986</c:v>
                </c:pt>
                <c:pt idx="51">
                  <c:v>2024709</c:v>
                </c:pt>
              </c:numCache>
            </c:numRef>
          </c:val>
          <c:smooth val="0"/>
        </c:ser>
        <c:axId val="584711"/>
        <c:axId val="5262400"/>
      </c:lineChart>
      <c:catAx>
        <c:axId val="58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400"/>
        <c:crosses val="autoZero"/>
        <c:auto val="1"/>
        <c:lblOffset val="100"/>
        <c:tickLblSkip val="1"/>
        <c:noMultiLvlLbl val="0"/>
      </c:catAx>
      <c:valAx>
        <c:axId val="5262400"/>
        <c:scaling>
          <c:orientation val="minMax"/>
          <c:max val="2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4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1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25"/>
          <c:y val="0.9335"/>
          <c:w val="0.805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2014/15  Bemarkingseisoen/ Marketing season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35"/>
          <c:w val="0.9642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2014/15 Bemarkingseisoen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'Weekliks-Weekly'!$N$8:$N$59</c:f>
              <c:numCache>
                <c:ptCount val="52"/>
                <c:pt idx="0">
                  <c:v>4468</c:v>
                </c:pt>
                <c:pt idx="1">
                  <c:v>12175</c:v>
                </c:pt>
                <c:pt idx="2">
                  <c:v>21441</c:v>
                </c:pt>
                <c:pt idx="3">
                  <c:v>32218</c:v>
                </c:pt>
                <c:pt idx="4">
                  <c:v>52992</c:v>
                </c:pt>
                <c:pt idx="5">
                  <c:v>102643</c:v>
                </c:pt>
                <c:pt idx="6">
                  <c:v>136187</c:v>
                </c:pt>
                <c:pt idx="7">
                  <c:v>203447</c:v>
                </c:pt>
                <c:pt idx="8">
                  <c:v>313167</c:v>
                </c:pt>
                <c:pt idx="9">
                  <c:v>375808</c:v>
                </c:pt>
                <c:pt idx="10">
                  <c:v>476746</c:v>
                </c:pt>
                <c:pt idx="11">
                  <c:v>614758</c:v>
                </c:pt>
                <c:pt idx="12">
                  <c:v>728804</c:v>
                </c:pt>
                <c:pt idx="13">
                  <c:v>835730</c:v>
                </c:pt>
                <c:pt idx="14">
                  <c:v>915562</c:v>
                </c:pt>
                <c:pt idx="15">
                  <c:v>1045665</c:v>
                </c:pt>
                <c:pt idx="16">
                  <c:v>1111912</c:v>
                </c:pt>
                <c:pt idx="17">
                  <c:v>1174338</c:v>
                </c:pt>
                <c:pt idx="18">
                  <c:v>1211569</c:v>
                </c:pt>
                <c:pt idx="19">
                  <c:v>1267616</c:v>
                </c:pt>
                <c:pt idx="20">
                  <c:v>1333909</c:v>
                </c:pt>
                <c:pt idx="21">
                  <c:v>1438060</c:v>
                </c:pt>
                <c:pt idx="22">
                  <c:v>1491819</c:v>
                </c:pt>
                <c:pt idx="23">
                  <c:v>1513668</c:v>
                </c:pt>
                <c:pt idx="24">
                  <c:v>1528822</c:v>
                </c:pt>
                <c:pt idx="25">
                  <c:v>1589216</c:v>
                </c:pt>
                <c:pt idx="26">
                  <c:v>1605898</c:v>
                </c:pt>
                <c:pt idx="27">
                  <c:v>1619979</c:v>
                </c:pt>
                <c:pt idx="28">
                  <c:v>1632750</c:v>
                </c:pt>
                <c:pt idx="29">
                  <c:v>1647595</c:v>
                </c:pt>
                <c:pt idx="30">
                  <c:v>1660758</c:v>
                </c:pt>
                <c:pt idx="31">
                  <c:v>1674674</c:v>
                </c:pt>
                <c:pt idx="32">
                  <c:v>1674674</c:v>
                </c:pt>
                <c:pt idx="33">
                  <c:v>1674674</c:v>
                </c:pt>
                <c:pt idx="34">
                  <c:v>1712523</c:v>
                </c:pt>
                <c:pt idx="35">
                  <c:v>1720556</c:v>
                </c:pt>
                <c:pt idx="36">
                  <c:v>1733558</c:v>
                </c:pt>
                <c:pt idx="37">
                  <c:v>1750668</c:v>
                </c:pt>
                <c:pt idx="38">
                  <c:v>1764992</c:v>
                </c:pt>
                <c:pt idx="39">
                  <c:v>1778103</c:v>
                </c:pt>
                <c:pt idx="40">
                  <c:v>1791310</c:v>
                </c:pt>
                <c:pt idx="41">
                  <c:v>1804258</c:v>
                </c:pt>
                <c:pt idx="42">
                  <c:v>1822520</c:v>
                </c:pt>
                <c:pt idx="43">
                  <c:v>1836499</c:v>
                </c:pt>
                <c:pt idx="44">
                  <c:v>1850878</c:v>
                </c:pt>
                <c:pt idx="45">
                  <c:v>1863105</c:v>
                </c:pt>
                <c:pt idx="46">
                  <c:v>1877729</c:v>
                </c:pt>
                <c:pt idx="47">
                  <c:v>1894122</c:v>
                </c:pt>
                <c:pt idx="48">
                  <c:v>1901786</c:v>
                </c:pt>
                <c:pt idx="49">
                  <c:v>1912838</c:v>
                </c:pt>
                <c:pt idx="50">
                  <c:v>1926509</c:v>
                </c:pt>
                <c:pt idx="51">
                  <c:v>1939283</c:v>
                </c:pt>
              </c:numCache>
            </c:numRef>
          </c:val>
          <c:smooth val="0"/>
        </c:ser>
        <c:marker val="1"/>
        <c:axId val="47361601"/>
        <c:axId val="23601226"/>
      </c:lineChart>
      <c:catAx>
        <c:axId val="47361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1226"/>
        <c:crosses val="autoZero"/>
        <c:auto val="1"/>
        <c:lblOffset val="100"/>
        <c:tickLblSkip val="1"/>
        <c:noMultiLvlLbl val="0"/>
      </c:catAx>
      <c:valAx>
        <c:axId val="23601226"/>
        <c:scaling>
          <c:orientation val="minMax"/>
          <c:max val="1980000.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1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615"/>
          <c:w val="0.627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2014/15 Bemarkingseisoen/ Marketing season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225"/>
          <c:w val="0.9295"/>
          <c:h val="0.769"/>
        </c:manualLayout>
      </c:layout>
      <c:lineChart>
        <c:grouping val="standard"/>
        <c:varyColors val="0"/>
        <c:ser>
          <c:idx val="0"/>
          <c:order val="0"/>
          <c:tx>
            <c:v>Wit/White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'Weekliks-Weekly'!$E$8:$E$59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Geel/Yellow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'Weekliks-Weekly'!$F$8:$F$59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21137</c:v>
                </c:pt>
                <c:pt idx="49">
                  <c:v>65250</c:v>
                </c:pt>
                <c:pt idx="50">
                  <c:v>65250</c:v>
                </c:pt>
                <c:pt idx="51">
                  <c:v>65250</c:v>
                </c:pt>
              </c:numCache>
            </c:numRef>
          </c:val>
          <c:smooth val="0"/>
        </c:ser>
        <c:ser>
          <c:idx val="2"/>
          <c:order val="2"/>
          <c:tx>
            <c:v>Totaal/ Total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02-May-14</c:v>
                </c:pt>
                <c:pt idx="1">
                  <c:v>09-May-14</c:v>
                </c:pt>
                <c:pt idx="2">
                  <c:v>16-May-14</c:v>
                </c:pt>
                <c:pt idx="3">
                  <c:v>23-May-14</c:v>
                </c:pt>
                <c:pt idx="4">
                  <c:v>30-May-14</c:v>
                </c:pt>
                <c:pt idx="5">
                  <c:v>06-Jun-14</c:v>
                </c:pt>
                <c:pt idx="6">
                  <c:v>13-Jun-14</c:v>
                </c:pt>
                <c:pt idx="7">
                  <c:v>20-Jun-14</c:v>
                </c:pt>
                <c:pt idx="8">
                  <c:v>27-Jun-14</c:v>
                </c:pt>
                <c:pt idx="9">
                  <c:v>04-Jul-14</c:v>
                </c:pt>
                <c:pt idx="10">
                  <c:v>11-Jul-14</c:v>
                </c:pt>
                <c:pt idx="11">
                  <c:v>18-Jul-14</c:v>
                </c:pt>
                <c:pt idx="12">
                  <c:v>25-Jul-14</c:v>
                </c:pt>
                <c:pt idx="13">
                  <c:v>01-Aug-14</c:v>
                </c:pt>
                <c:pt idx="14">
                  <c:v>08-Aug-14</c:v>
                </c:pt>
                <c:pt idx="15">
                  <c:v>15-Aug-14</c:v>
                </c:pt>
                <c:pt idx="16">
                  <c:v>22-Aug-14</c:v>
                </c:pt>
                <c:pt idx="17">
                  <c:v>29-Aug-14</c:v>
                </c:pt>
                <c:pt idx="18">
                  <c:v>05-Sep-14</c:v>
                </c:pt>
                <c:pt idx="19">
                  <c:v>12-Sep-14</c:v>
                </c:pt>
                <c:pt idx="20">
                  <c:v>19-Sep-14</c:v>
                </c:pt>
                <c:pt idx="21">
                  <c:v>26-Sep-14</c:v>
                </c:pt>
                <c:pt idx="22">
                  <c:v>03-Oct-14</c:v>
                </c:pt>
                <c:pt idx="23">
                  <c:v>10-Oct-14</c:v>
                </c:pt>
                <c:pt idx="24">
                  <c:v>17-Oct-14</c:v>
                </c:pt>
                <c:pt idx="25">
                  <c:v>24-Oct-14</c:v>
                </c:pt>
                <c:pt idx="26">
                  <c:v>31-Oct-14</c:v>
                </c:pt>
                <c:pt idx="27">
                  <c:v>07-Nov-14</c:v>
                </c:pt>
                <c:pt idx="28">
                  <c:v>14-Nov-14</c:v>
                </c:pt>
                <c:pt idx="29">
                  <c:v>21-Nov-14</c:v>
                </c:pt>
                <c:pt idx="30">
                  <c:v>28-Nov-14</c:v>
                </c:pt>
                <c:pt idx="31">
                  <c:v>05-Dec-14</c:v>
                </c:pt>
                <c:pt idx="32">
                  <c:v>12-Dec-14</c:v>
                </c:pt>
                <c:pt idx="33">
                  <c:v>19-Dec-14</c:v>
                </c:pt>
                <c:pt idx="34">
                  <c:v>26-Dec-14</c:v>
                </c:pt>
                <c:pt idx="35">
                  <c:v>02-Jan-15</c:v>
                </c:pt>
                <c:pt idx="36">
                  <c:v>09-Jan-15</c:v>
                </c:pt>
                <c:pt idx="37">
                  <c:v>16-Jan-15</c:v>
                </c:pt>
                <c:pt idx="38">
                  <c:v>23-Jan-15</c:v>
                </c:pt>
                <c:pt idx="39">
                  <c:v>30-Jan-15</c:v>
                </c:pt>
                <c:pt idx="40">
                  <c:v>06-Feb-15</c:v>
                </c:pt>
                <c:pt idx="41">
                  <c:v>13-Feb-15</c:v>
                </c:pt>
                <c:pt idx="42">
                  <c:v>20-Feb-15</c:v>
                </c:pt>
                <c:pt idx="43">
                  <c:v>27-Feb-15</c:v>
                </c:pt>
                <c:pt idx="44">
                  <c:v>06-Mar-15</c:v>
                </c:pt>
                <c:pt idx="45">
                  <c:v>13-Mar-15</c:v>
                </c:pt>
                <c:pt idx="46">
                  <c:v>20-Mar-15</c:v>
                </c:pt>
                <c:pt idx="47">
                  <c:v>27-Mar-15</c:v>
                </c:pt>
                <c:pt idx="48">
                  <c:v>03-Apr-15</c:v>
                </c:pt>
                <c:pt idx="49">
                  <c:v>10-Apr-15</c:v>
                </c:pt>
                <c:pt idx="50">
                  <c:v>17-Apr-15</c:v>
                </c:pt>
                <c:pt idx="51">
                  <c:v>24-Apr-15</c:v>
                </c:pt>
              </c:strCache>
            </c:strRef>
          </c:cat>
          <c:val>
            <c:numRef>
              <c:f>'Weekliks-Weekly'!$M$8:$M$59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21137</c:v>
                </c:pt>
                <c:pt idx="49">
                  <c:v>65250</c:v>
                </c:pt>
                <c:pt idx="50">
                  <c:v>65250</c:v>
                </c:pt>
                <c:pt idx="51">
                  <c:v>65250</c:v>
                </c:pt>
              </c:numCache>
            </c:numRef>
          </c:val>
          <c:smooth val="0"/>
        </c:ser>
        <c:marker val="1"/>
        <c:axId val="11084443"/>
        <c:axId val="32651124"/>
      </c:lineChart>
      <c:catAx>
        <c:axId val="11084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1124"/>
        <c:crosses val="autoZero"/>
        <c:auto val="1"/>
        <c:lblOffset val="100"/>
        <c:tickLblSkip val="1"/>
        <c:noMultiLvlLbl val="0"/>
      </c:catAx>
      <c:valAx>
        <c:axId val="3265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4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1575"/>
          <c:w val="0.525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</cdr:x>
      <cdr:y>0.8325</cdr:y>
    </cdr:from>
    <cdr:to>
      <cdr:x>0.99125</cdr:x>
      <cdr:y>0.98375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62625" y="5124450"/>
          <a:ext cx="35337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0.841</cdr:y>
    </cdr:from>
    <cdr:to>
      <cdr:x>0.4085</cdr:x>
      <cdr:y>0.994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5181600"/>
          <a:ext cx="36957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expected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exports : 1 405 000 tons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Exported to date: 1 403 269 tons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Outstanding 1 731 tons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0.859</cdr:y>
    </cdr:from>
    <cdr:to>
      <cdr:x>0.3265</cdr:x>
      <cdr:y>0.9755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47625" y="5276850"/>
          <a:ext cx="30099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0.877</cdr:y>
    </cdr:from>
    <cdr:to>
      <cdr:x>0.32425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81625"/>
          <a:ext cx="29622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0.0165</cdr:x>
      <cdr:y>0.84225</cdr:y>
    </cdr:from>
    <cdr:to>
      <cdr:x>0.381</cdr:x>
      <cdr:y>0.994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5172075"/>
          <a:ext cx="34194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expected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exports 537 000 tons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Exported to date: 536 014 tons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Outstanding: 986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37">
      <selection activeCell="J61" sqref="J61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10.8515625" style="0" customWidth="1"/>
    <col min="4" max="4" width="11.28125" style="0" bestFit="1" customWidth="1"/>
    <col min="5" max="5" width="11.28125" style="0" customWidth="1"/>
    <col min="6" max="6" width="10.8515625" style="0" bestFit="1" customWidth="1"/>
    <col min="7" max="7" width="48.28125" style="0" customWidth="1"/>
    <col min="8" max="8" width="14.00390625" style="0" bestFit="1" customWidth="1"/>
    <col min="9" max="9" width="13.28125" style="0" customWidth="1"/>
    <col min="10" max="10" width="12.140625" style="0" customWidth="1"/>
  </cols>
  <sheetData>
    <row r="1" spans="1:3" ht="12.75">
      <c r="A1" s="1" t="s">
        <v>112</v>
      </c>
      <c r="B1" s="1"/>
      <c r="C1" s="1"/>
    </row>
    <row r="2" spans="1:3" ht="12.75">
      <c r="A2" s="1" t="s">
        <v>10</v>
      </c>
      <c r="B2" s="1"/>
      <c r="C2" s="1"/>
    </row>
    <row r="4" spans="1:5" ht="12.75">
      <c r="A4" s="72" t="s">
        <v>126</v>
      </c>
      <c r="B4" s="73">
        <f>D5</f>
        <v>42118</v>
      </c>
      <c r="C4" s="72"/>
      <c r="D4" s="72" t="s">
        <v>116</v>
      </c>
      <c r="E4" s="155"/>
    </row>
    <row r="5" spans="2:5" ht="15">
      <c r="B5" s="112" t="s">
        <v>111</v>
      </c>
      <c r="C5" s="112" t="s">
        <v>113</v>
      </c>
      <c r="D5" s="151">
        <f>'Weekliks-Weekly'!B59</f>
        <v>42118</v>
      </c>
      <c r="E5" s="153"/>
    </row>
    <row r="6" spans="1:7" ht="15.75" thickBot="1">
      <c r="A6" t="s">
        <v>64</v>
      </c>
      <c r="D6" s="152">
        <f>52-52</f>
        <v>0</v>
      </c>
      <c r="E6" s="154"/>
      <c r="G6" s="1" t="s">
        <v>98</v>
      </c>
    </row>
    <row r="7" spans="1:10" ht="12.75">
      <c r="A7" s="1" t="s">
        <v>2</v>
      </c>
      <c r="B7" s="1"/>
      <c r="C7" s="1"/>
      <c r="E7" s="66" t="s">
        <v>3</v>
      </c>
      <c r="G7" s="35"/>
      <c r="H7" s="31" t="s">
        <v>11</v>
      </c>
      <c r="I7" s="31" t="s">
        <v>12</v>
      </c>
      <c r="J7" s="32" t="s">
        <v>45</v>
      </c>
    </row>
    <row r="8" spans="1:10" ht="12.75">
      <c r="A8" s="55"/>
      <c r="B8" s="124" t="s">
        <v>111</v>
      </c>
      <c r="C8" s="124" t="s">
        <v>113</v>
      </c>
      <c r="D8" s="125" t="s">
        <v>121</v>
      </c>
      <c r="E8" s="125" t="s">
        <v>122</v>
      </c>
      <c r="G8" s="36" t="s">
        <v>13</v>
      </c>
      <c r="H8" s="30">
        <f>E14</f>
        <v>160587</v>
      </c>
      <c r="I8" s="30">
        <f>E52</f>
        <v>30126</v>
      </c>
      <c r="J8" s="37">
        <f>SUM(H8:I8)</f>
        <v>190713</v>
      </c>
    </row>
    <row r="9" spans="1:10" ht="15">
      <c r="A9" s="46" t="s">
        <v>14</v>
      </c>
      <c r="B9" s="46">
        <v>12890</v>
      </c>
      <c r="C9" s="29">
        <f>555+35+215+798+376+1230+1454+637+78+297+2470+1069+900+274+1664+770+1034+1133+619+2257+286+336+1270+651+215</f>
        <v>20623</v>
      </c>
      <c r="D9" s="143">
        <f>310+315+485+483+136+781+929+1115+929+274+489+464+499+314+31+92+958+612+186+204+101+54+15+40+507+874+516+444+556+597+322+1091+71+1512+1461+240+587+404</f>
        <v>18998</v>
      </c>
      <c r="E9" s="127">
        <f>12+298+655+339+517+859+944+725+1023+706+652+630+763+378+796+343+70+1276+548+1093+1440+713+671+448+1044+1460+870+286+1255+580+953+69+306+382+112+209+854+388+146+228+37+89+77</f>
        <v>25244</v>
      </c>
      <c r="G9" s="36" t="s">
        <v>16</v>
      </c>
      <c r="H9" s="30">
        <f>E10</f>
        <v>103494</v>
      </c>
      <c r="I9" s="30">
        <f>E48</f>
        <v>7506</v>
      </c>
      <c r="J9" s="37">
        <f>SUM(H9:I9)</f>
        <v>111000</v>
      </c>
    </row>
    <row r="10" spans="1:10" ht="15">
      <c r="A10" s="46" t="s">
        <v>16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43">
        <f>1005+574+888+1545+1054+1089+1831+527+308+723+1365+2599+1095+181+749+2095+1761+310+483+1012+2552+836+792+46+1045+1775+1813+2506+2355+2536+1631+1949+560+1691+354+243+397+934+1291+1295+843</f>
        <v>48638</v>
      </c>
      <c r="E10" s="127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G10" s="36" t="s">
        <v>18</v>
      </c>
      <c r="H10" s="30">
        <f>E13</f>
        <v>85106</v>
      </c>
      <c r="I10" s="30">
        <f>E51</f>
        <v>37518</v>
      </c>
      <c r="J10" s="37">
        <f>SUM(H10:I10)</f>
        <v>122624</v>
      </c>
    </row>
    <row r="11" spans="1:10" ht="15">
      <c r="A11" s="46" t="s">
        <v>19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43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27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G11" s="36" t="s">
        <v>14</v>
      </c>
      <c r="H11" s="30">
        <f>E9</f>
        <v>25244</v>
      </c>
      <c r="I11" s="30">
        <f>E50</f>
        <v>45076</v>
      </c>
      <c r="J11" s="37">
        <f>SUM(H11:I11)</f>
        <v>70320</v>
      </c>
    </row>
    <row r="12" spans="1:10" ht="15.75" thickBot="1">
      <c r="A12" s="46" t="s">
        <v>15</v>
      </c>
      <c r="B12" s="46">
        <v>352</v>
      </c>
      <c r="C12" s="29">
        <f>1189+572+171+1660+947+880+484+176</f>
        <v>6079</v>
      </c>
      <c r="D12" s="143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27">
        <f>508+74+792+2224+1364+682+2860+2552+2200+1185+836+1848+792+2508+1100+1232+2387+2288+1450+1844+0+2499+5101+5415+4184+4330+1500+650+2625+529</f>
        <v>57559</v>
      </c>
      <c r="G12" s="38" t="s">
        <v>20</v>
      </c>
      <c r="H12" s="39">
        <f>SUM(H8:H11)</f>
        <v>374431</v>
      </c>
      <c r="I12" s="39">
        <f>SUM(I8:I11)</f>
        <v>120226</v>
      </c>
      <c r="J12" s="40">
        <f>SUM(H12:I12)</f>
        <v>494657</v>
      </c>
    </row>
    <row r="13" spans="1:10" ht="15">
      <c r="A13" s="46" t="s">
        <v>18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43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27">
        <f>1809+2582+2140+1955+3453+4824+3076+2952+3090+3753+2117+2393+2858+3306+4080+3612+3164+9704+3264+2015+2445+1482+1311+2038+424+34+80+205+409+358+327+146+213+510+567+486+195+311+55+86+86+1165+2821+1736+251+855+211+152</f>
        <v>85106</v>
      </c>
      <c r="G13" s="44"/>
      <c r="H13" s="45"/>
      <c r="I13" s="45"/>
      <c r="J13" s="45"/>
    </row>
    <row r="14" spans="1:10" ht="15">
      <c r="A14" s="46" t="s">
        <v>13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43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27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G14" s="44"/>
      <c r="H14" s="45"/>
      <c r="I14" s="45"/>
      <c r="J14" s="45"/>
    </row>
    <row r="15" spans="1:7" ht="15.75" thickBot="1">
      <c r="A15" s="46" t="s">
        <v>74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43">
        <f>19803+18866+8186+31763+4804+33834+7893+28248+36700</f>
        <v>190097</v>
      </c>
      <c r="E15" s="127"/>
      <c r="G15" s="1" t="s">
        <v>92</v>
      </c>
    </row>
    <row r="16" spans="1:10" ht="15">
      <c r="A16" s="46" t="s">
        <v>22</v>
      </c>
      <c r="B16" s="46"/>
      <c r="C16" s="30"/>
      <c r="D16" s="144">
        <v>2369</v>
      </c>
      <c r="E16" s="128"/>
      <c r="G16" s="35"/>
      <c r="H16" s="31" t="s">
        <v>11</v>
      </c>
      <c r="I16" s="31" t="s">
        <v>12</v>
      </c>
      <c r="J16" s="32" t="s">
        <v>45</v>
      </c>
    </row>
    <row r="17" spans="1:13" ht="15">
      <c r="A17" s="46" t="s">
        <v>46</v>
      </c>
      <c r="B17" s="46"/>
      <c r="C17" s="29"/>
      <c r="D17" s="143"/>
      <c r="E17" s="127"/>
      <c r="G17" s="36" t="s">
        <v>93</v>
      </c>
      <c r="H17" s="128">
        <f>E9+E10+E11+E12+E13+E14+E16</f>
        <v>530449</v>
      </c>
      <c r="I17" s="128">
        <f>E48+E49+E50+E51+E52+E58+E74</f>
        <v>151866</v>
      </c>
      <c r="J17" s="37">
        <f>SUM(H17:I17)</f>
        <v>682315</v>
      </c>
      <c r="L17" s="2"/>
      <c r="M17" s="2"/>
    </row>
    <row r="18" spans="1:10" ht="15">
      <c r="A18" s="46" t="s">
        <v>84</v>
      </c>
      <c r="B18" s="46"/>
      <c r="C18" s="29"/>
      <c r="D18" s="143"/>
      <c r="E18" s="127"/>
      <c r="G18" s="36" t="s">
        <v>94</v>
      </c>
      <c r="H18" s="128">
        <f>E27</f>
        <v>5565</v>
      </c>
      <c r="I18" s="128">
        <f>E53+E54+E61+E67+E76</f>
        <v>1194433</v>
      </c>
      <c r="J18" s="37">
        <f>SUM(H18:I18)</f>
        <v>1199998</v>
      </c>
    </row>
    <row r="19" spans="1:10" ht="15.75" thickBot="1">
      <c r="A19" s="46" t="s">
        <v>47</v>
      </c>
      <c r="B19" s="46"/>
      <c r="C19" s="29"/>
      <c r="D19" s="143">
        <v>1058</v>
      </c>
      <c r="E19" s="127"/>
      <c r="G19" s="38" t="s">
        <v>20</v>
      </c>
      <c r="H19" s="39">
        <f>SUM(H17:H18)</f>
        <v>536014</v>
      </c>
      <c r="I19" s="39">
        <f>SUM(I17:I18)</f>
        <v>1346299</v>
      </c>
      <c r="J19" s="40">
        <f>SUM(H19:I19)</f>
        <v>1882313</v>
      </c>
    </row>
    <row r="20" spans="1:10" ht="15">
      <c r="A20" s="46" t="s">
        <v>81</v>
      </c>
      <c r="B20" s="46"/>
      <c r="C20" s="29">
        <f>43+774+645</f>
        <v>1462</v>
      </c>
      <c r="D20" s="143"/>
      <c r="E20" s="127"/>
      <c r="G20" s="44"/>
      <c r="H20" s="45"/>
      <c r="I20" s="45"/>
      <c r="J20" s="45"/>
    </row>
    <row r="21" spans="1:10" ht="15">
      <c r="A21" s="46" t="s">
        <v>73</v>
      </c>
      <c r="B21" s="46"/>
      <c r="C21" s="29"/>
      <c r="D21" s="143"/>
      <c r="E21" s="127"/>
      <c r="G21" s="44"/>
      <c r="H21" s="45"/>
      <c r="I21" s="45"/>
      <c r="J21" s="45"/>
    </row>
    <row r="22" spans="1:10" ht="15">
      <c r="A22" s="46" t="s">
        <v>82</v>
      </c>
      <c r="B22" s="46"/>
      <c r="C22" s="29"/>
      <c r="D22" s="143"/>
      <c r="E22" s="127"/>
      <c r="G22" s="44"/>
      <c r="H22" s="45"/>
      <c r="I22" s="45"/>
      <c r="J22" s="45"/>
    </row>
    <row r="23" spans="1:10" ht="15.75" thickBot="1">
      <c r="A23" s="46" t="s">
        <v>66</v>
      </c>
      <c r="B23" s="46"/>
      <c r="C23" s="29"/>
      <c r="D23" s="143"/>
      <c r="E23" s="127"/>
      <c r="G23" s="98"/>
      <c r="H23" s="99"/>
      <c r="I23" s="99"/>
      <c r="J23" s="99"/>
    </row>
    <row r="24" spans="1:10" ht="15">
      <c r="A24" s="46" t="s">
        <v>77</v>
      </c>
      <c r="B24" s="46"/>
      <c r="C24" s="29"/>
      <c r="D24" s="143"/>
      <c r="E24" s="127"/>
      <c r="G24" s="158" t="s">
        <v>134</v>
      </c>
      <c r="H24" s="31" t="s">
        <v>50</v>
      </c>
      <c r="I24" s="31" t="s">
        <v>51</v>
      </c>
      <c r="J24" s="32" t="s">
        <v>20</v>
      </c>
    </row>
    <row r="25" spans="1:10" ht="15">
      <c r="A25" s="46" t="s">
        <v>43</v>
      </c>
      <c r="B25" s="46"/>
      <c r="C25" s="29"/>
      <c r="D25" s="143"/>
      <c r="E25" s="127"/>
      <c r="G25" s="159"/>
      <c r="H25" s="156">
        <f>E44/(52-H34)</f>
        <v>10307.961538461539</v>
      </c>
      <c r="I25" s="156">
        <f>E79/(52-H34)</f>
        <v>26985.94230769231</v>
      </c>
      <c r="J25" s="157">
        <f>E80/(52-H34)</f>
        <v>37293.903846153844</v>
      </c>
    </row>
    <row r="26" spans="1:10" ht="15.75" thickBot="1">
      <c r="A26" s="46" t="s">
        <v>23</v>
      </c>
      <c r="B26" s="46"/>
      <c r="C26" s="29"/>
      <c r="D26" s="143"/>
      <c r="E26" s="127"/>
      <c r="G26" s="108" t="s">
        <v>108</v>
      </c>
      <c r="H26" s="106">
        <f>H25*52</f>
        <v>536014</v>
      </c>
      <c r="I26" s="106">
        <f>I25*52</f>
        <v>1403269</v>
      </c>
      <c r="J26" s="107">
        <f>H26+I26</f>
        <v>1939283</v>
      </c>
    </row>
    <row r="27" spans="1:9" ht="15">
      <c r="A27" s="46" t="s">
        <v>132</v>
      </c>
      <c r="B27" s="46">
        <v>45234</v>
      </c>
      <c r="C27" s="29">
        <f>9621+39629+997</f>
        <v>50247</v>
      </c>
      <c r="D27" s="143"/>
      <c r="E27" s="127">
        <f>1687+1690+723+731+326+408</f>
        <v>5565</v>
      </c>
      <c r="G27" s="86" t="s">
        <v>107</v>
      </c>
      <c r="H27" s="62"/>
      <c r="I27" s="62"/>
    </row>
    <row r="28" spans="1:9" ht="15">
      <c r="A28" s="46" t="s">
        <v>44</v>
      </c>
      <c r="B28" s="46"/>
      <c r="C28" s="29"/>
      <c r="D28" s="143"/>
      <c r="E28" s="127"/>
      <c r="H28" s="62"/>
      <c r="I28" s="62"/>
    </row>
    <row r="29" spans="1:7" ht="15.75" thickBot="1">
      <c r="A29" s="46" t="s">
        <v>65</v>
      </c>
      <c r="B29" s="46"/>
      <c r="C29" s="29"/>
      <c r="D29" s="143"/>
      <c r="E29" s="127"/>
      <c r="G29" s="1" t="s">
        <v>59</v>
      </c>
    </row>
    <row r="30" spans="1:10" ht="15">
      <c r="A30" s="46" t="s">
        <v>5</v>
      </c>
      <c r="B30" s="46"/>
      <c r="C30" s="29"/>
      <c r="D30" s="143"/>
      <c r="E30" s="127"/>
      <c r="G30" s="41"/>
      <c r="H30" s="31" t="s">
        <v>52</v>
      </c>
      <c r="I30" s="31" t="s">
        <v>104</v>
      </c>
      <c r="J30" s="32" t="s">
        <v>57</v>
      </c>
    </row>
    <row r="31" spans="1:13" ht="15">
      <c r="A31" s="46" t="s">
        <v>109</v>
      </c>
      <c r="B31" s="46"/>
      <c r="C31" s="29">
        <f>817+559+516+967</f>
        <v>2859</v>
      </c>
      <c r="D31" s="143"/>
      <c r="E31" s="127"/>
      <c r="G31" s="48" t="s">
        <v>53</v>
      </c>
      <c r="H31" s="127">
        <v>536014</v>
      </c>
      <c r="I31" s="127">
        <v>536014</v>
      </c>
      <c r="J31" s="135">
        <v>536014</v>
      </c>
      <c r="M31" s="86"/>
    </row>
    <row r="32" spans="1:10" ht="15">
      <c r="A32" s="46" t="s">
        <v>97</v>
      </c>
      <c r="B32" s="46"/>
      <c r="C32" s="29"/>
      <c r="D32" s="143"/>
      <c r="E32" s="127"/>
      <c r="G32" s="75" t="s">
        <v>127</v>
      </c>
      <c r="H32" s="29">
        <f>E44</f>
        <v>536014</v>
      </c>
      <c r="I32" s="29">
        <f>E44</f>
        <v>536014</v>
      </c>
      <c r="J32" s="42">
        <f>E44</f>
        <v>536014</v>
      </c>
    </row>
    <row r="33" spans="1:10" ht="15">
      <c r="A33" s="46" t="s">
        <v>95</v>
      </c>
      <c r="B33" s="46"/>
      <c r="C33" s="29"/>
      <c r="D33" s="143"/>
      <c r="E33" s="127"/>
      <c r="G33" s="36" t="s">
        <v>54</v>
      </c>
      <c r="H33" s="29">
        <f>H31-H32</f>
        <v>0</v>
      </c>
      <c r="I33" s="29">
        <f>I31-I32</f>
        <v>0</v>
      </c>
      <c r="J33" s="42">
        <f>J31-J32</f>
        <v>0</v>
      </c>
    </row>
    <row r="34" spans="1:10" ht="15">
      <c r="A34" s="46" t="s">
        <v>91</v>
      </c>
      <c r="B34" s="46">
        <v>68005</v>
      </c>
      <c r="C34" s="29">
        <f>27700+33176</f>
        <v>60876</v>
      </c>
      <c r="D34" s="143"/>
      <c r="E34" s="127"/>
      <c r="G34" s="36" t="s">
        <v>55</v>
      </c>
      <c r="H34" s="29">
        <f>D6</f>
        <v>0</v>
      </c>
      <c r="I34" s="29">
        <f>$H$34</f>
        <v>0</v>
      </c>
      <c r="J34" s="42">
        <f>$H$34</f>
        <v>0</v>
      </c>
    </row>
    <row r="35" spans="1:10" ht="15.75" thickBot="1">
      <c r="A35" s="46" t="s">
        <v>72</v>
      </c>
      <c r="B35" s="46">
        <v>19442</v>
      </c>
      <c r="C35" s="29"/>
      <c r="D35" s="143"/>
      <c r="E35" s="127"/>
      <c r="G35" s="43" t="s">
        <v>56</v>
      </c>
      <c r="H35" s="33" t="e">
        <f>H33/H34</f>
        <v>#DIV/0!</v>
      </c>
      <c r="I35" s="33" t="e">
        <f>I33/I34</f>
        <v>#DIV/0!</v>
      </c>
      <c r="J35" s="34" t="e">
        <f>J33/J34</f>
        <v>#DIV/0!</v>
      </c>
    </row>
    <row r="36" spans="1:10" ht="15">
      <c r="A36" s="46" t="s">
        <v>48</v>
      </c>
      <c r="B36" s="46"/>
      <c r="C36" s="29"/>
      <c r="D36" s="143"/>
      <c r="E36" s="127"/>
      <c r="G36" s="55"/>
      <c r="H36" s="63"/>
      <c r="I36" s="45"/>
      <c r="J36" s="63"/>
    </row>
    <row r="37" spans="1:10" ht="15">
      <c r="A37" s="46" t="s">
        <v>79</v>
      </c>
      <c r="B37" s="46"/>
      <c r="C37" s="29"/>
      <c r="D37" s="143"/>
      <c r="E37" s="127"/>
      <c r="G37" s="104" t="s">
        <v>103</v>
      </c>
      <c r="H37" s="63"/>
      <c r="I37" s="45"/>
      <c r="J37" s="63"/>
    </row>
    <row r="38" spans="1:10" ht="15">
      <c r="A38" s="46" t="s">
        <v>26</v>
      </c>
      <c r="B38" s="46">
        <v>258</v>
      </c>
      <c r="C38" s="29"/>
      <c r="D38" s="143"/>
      <c r="E38" s="127"/>
      <c r="G38" s="104" t="s">
        <v>106</v>
      </c>
      <c r="H38" s="63"/>
      <c r="I38" s="45"/>
      <c r="J38" s="63"/>
    </row>
    <row r="39" spans="1:10" ht="15">
      <c r="A39" s="46" t="s">
        <v>96</v>
      </c>
      <c r="B39" s="46"/>
      <c r="C39" s="29"/>
      <c r="D39" s="143"/>
      <c r="E39" s="127"/>
      <c r="G39" s="55"/>
      <c r="H39" s="63"/>
      <c r="I39" s="63"/>
      <c r="J39" s="63"/>
    </row>
    <row r="40" spans="1:10" ht="15">
      <c r="A40" s="46" t="s">
        <v>24</v>
      </c>
      <c r="B40" s="46"/>
      <c r="C40" s="29"/>
      <c r="D40" s="143"/>
      <c r="E40" s="127"/>
      <c r="G40" s="55"/>
      <c r="H40" s="63"/>
      <c r="I40" s="63"/>
      <c r="J40" s="63"/>
    </row>
    <row r="41" spans="1:7" ht="15.75" thickBot="1">
      <c r="A41" s="46" t="s">
        <v>83</v>
      </c>
      <c r="B41" s="46"/>
      <c r="C41" s="29"/>
      <c r="D41" s="143"/>
      <c r="E41" s="127"/>
      <c r="G41" s="1" t="s">
        <v>60</v>
      </c>
    </row>
    <row r="42" spans="1:10" ht="15">
      <c r="A42" s="46" t="s">
        <v>99</v>
      </c>
      <c r="B42" s="46">
        <v>31000</v>
      </c>
      <c r="C42" s="29"/>
      <c r="D42" s="143"/>
      <c r="E42" s="127"/>
      <c r="G42" s="41"/>
      <c r="H42" s="31" t="s">
        <v>52</v>
      </c>
      <c r="I42" s="31" t="s">
        <v>105</v>
      </c>
      <c r="J42" s="32" t="s">
        <v>57</v>
      </c>
    </row>
    <row r="43" spans="1:10" ht="15">
      <c r="A43" s="46" t="s">
        <v>17</v>
      </c>
      <c r="B43" s="46"/>
      <c r="C43" s="29"/>
      <c r="D43" s="143"/>
      <c r="E43" s="127"/>
      <c r="G43" s="48" t="s">
        <v>61</v>
      </c>
      <c r="H43" s="127">
        <v>1403269</v>
      </c>
      <c r="I43" s="127">
        <v>1403269</v>
      </c>
      <c r="J43" s="127">
        <v>1403269</v>
      </c>
    </row>
    <row r="44" spans="1:10" ht="15">
      <c r="A44" s="47" t="s">
        <v>67</v>
      </c>
      <c r="B44" s="47">
        <f>SUM(B9:B42)</f>
        <v>1731243</v>
      </c>
      <c r="C44" s="139">
        <f>SUM(C9:C34)</f>
        <v>1395153</v>
      </c>
      <c r="D44" s="145">
        <f>SUM(D9:D43)</f>
        <v>901227</v>
      </c>
      <c r="E44" s="145">
        <f>SUM(E9:E43)</f>
        <v>536014</v>
      </c>
      <c r="F44" s="141">
        <f>'Weekliks-Weekly'!I59</f>
        <v>536014</v>
      </c>
      <c r="G44" s="75" t="s">
        <v>128</v>
      </c>
      <c r="H44" s="29">
        <f>E79</f>
        <v>1403269</v>
      </c>
      <c r="I44" s="29">
        <f>E79</f>
        <v>1403269</v>
      </c>
      <c r="J44" s="42">
        <f>E79</f>
        <v>1403269</v>
      </c>
    </row>
    <row r="45" spans="4:10" ht="12.75">
      <c r="D45" s="146"/>
      <c r="E45" s="55"/>
      <c r="F45" s="109"/>
      <c r="G45" s="36" t="s">
        <v>54</v>
      </c>
      <c r="H45" s="29">
        <f>H43-H44</f>
        <v>0</v>
      </c>
      <c r="I45" s="29">
        <f>I43-I44</f>
        <v>0</v>
      </c>
      <c r="J45" s="42">
        <f>J43-J44</f>
        <v>0</v>
      </c>
    </row>
    <row r="46" spans="1:10" ht="12.75">
      <c r="A46" s="1" t="s">
        <v>7</v>
      </c>
      <c r="B46" s="1"/>
      <c r="C46" s="1"/>
      <c r="E46" s="147" t="s">
        <v>3</v>
      </c>
      <c r="G46" s="36" t="s">
        <v>55</v>
      </c>
      <c r="H46" s="29">
        <f>$H$34</f>
        <v>0</v>
      </c>
      <c r="I46" s="29">
        <f>$H$34</f>
        <v>0</v>
      </c>
      <c r="J46" s="42">
        <f>$H$34</f>
        <v>0</v>
      </c>
    </row>
    <row r="47" spans="2:10" ht="13.5" thickBot="1">
      <c r="B47" s="124" t="s">
        <v>111</v>
      </c>
      <c r="C47" s="124" t="s">
        <v>113</v>
      </c>
      <c r="D47" s="148" t="s">
        <v>121</v>
      </c>
      <c r="E47" s="142" t="s">
        <v>122</v>
      </c>
      <c r="G47" s="43" t="s">
        <v>56</v>
      </c>
      <c r="H47" s="33" t="e">
        <f>H45/H46</f>
        <v>#DIV/0!</v>
      </c>
      <c r="I47" s="33" t="e">
        <f>I45/I46</f>
        <v>#DIV/0!</v>
      </c>
      <c r="J47" s="34" t="e">
        <f>J45/J46</f>
        <v>#DIV/0!</v>
      </c>
    </row>
    <row r="48" spans="1:10" ht="15">
      <c r="A48" s="46" t="s">
        <v>16</v>
      </c>
      <c r="B48" s="46">
        <v>6587</v>
      </c>
      <c r="C48" s="85">
        <f>15+593+506+514+2+172+104+492+454+220+228+781+182+405+743+1096+189+228+819+50+301+274+56+3+160+223+56+36+279+5</f>
        <v>9186</v>
      </c>
      <c r="D48" s="143">
        <f>432+66+344+134+148+212+250+640+33+32+35+159+679+19+135+2137+176+137+560+726+209+15+36+248+166+439+324+121+34+168</f>
        <v>8814</v>
      </c>
      <c r="E48" s="127">
        <f>126+132+138+54+248+34+290+244+432+137+287+1010+561+647+342+595+619+35+35+34+1158+68+173+107</f>
        <v>7506</v>
      </c>
      <c r="G48" s="55"/>
      <c r="H48" s="63"/>
      <c r="I48" s="45"/>
      <c r="J48" s="63"/>
    </row>
    <row r="49" spans="1:10" ht="15">
      <c r="A49" s="46" t="s">
        <v>19</v>
      </c>
      <c r="B49" s="46">
        <v>14833</v>
      </c>
      <c r="C49" s="85">
        <f>442+352+471+159+522+155+97+223+98+1208+427+220+251+320+451+535+294+1020+1115+271+326+258+513+168+181+35+47+255+1680+791+1175+749+394+958+83+84+82+27+511+427+400</f>
        <v>17775</v>
      </c>
      <c r="D49" s="143">
        <f>104+81+631+231+213+199+138+220+979+131+507+487+461+1509+410+771+288+1886+496+624+850+1081+544+865+409+194+124+205+197+169+639+362+433+364+735+911+168+570+1013+550+381+793+183+164+67+110+95</f>
        <v>22542</v>
      </c>
      <c r="E49" s="127">
        <f>97+31+195+135+168+132+166+234+1310+543+933+519+302+435+750+3213+143+584+1130+1706+587+325+942+1206+876+32+37+266+299+197+32+232+353+930+33+648+817+871+664+544+208+209+1158+291</f>
        <v>24483</v>
      </c>
      <c r="G49" s="104" t="s">
        <v>103</v>
      </c>
      <c r="H49" s="63"/>
      <c r="I49" s="45"/>
      <c r="J49" s="63"/>
    </row>
    <row r="50" spans="1:7" ht="15">
      <c r="A50" s="46" t="s">
        <v>14</v>
      </c>
      <c r="B50" s="46">
        <v>55618</v>
      </c>
      <c r="C50" s="85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0" s="143">
        <f>230+477+569+880+750+1120+874+1288+548+465+647+1364+1253+698+956+1401+531+2481+798+1356+1534+715+917+565+1310+1024+1550+700+1370+293+896+557+729+974+825+733+651+200+118+444+614+700+1492+969+352+608+250+285+265+512</f>
        <v>40838</v>
      </c>
      <c r="E50" s="127">
        <f>980+1137+96+177+319+709+1080+1251+1110+927+1304+1506+1531+883+914+1437+801+3496+1286+1597+982+1034+1222+924+1310+1492+1311+1663+1423+1311+1202+888+911+782+1085+1237+476+1294+460+60+78+208+731+451</f>
        <v>45076</v>
      </c>
      <c r="G50" s="104" t="s">
        <v>106</v>
      </c>
    </row>
    <row r="51" spans="1:5" ht="15">
      <c r="A51" s="46" t="s">
        <v>18</v>
      </c>
      <c r="B51" s="46">
        <v>15632</v>
      </c>
      <c r="C51" s="85">
        <f>351+605+233+305+817+415+277+384+367+848+1059+1094+689+993+572+818+73+1858+1438+1599+1054+1189+664+565+719+322+922+570+477+461+256+152+398+605+389+694+154+531+395+336+669+471+699+566+330+125+873+139+136+279</f>
        <v>29935</v>
      </c>
      <c r="D51" s="143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1" s="127">
        <f>875+1176+849+838+1350+825+799+1278+1465+707+391+815+844+645+569+237+98+1304+534+155+908+922+366+749+405+261+315+204+344+297+526+404+103+812+288+893+535+1507+796+990+966+1082+919+947+912+1253+1367+1469+720+504</f>
        <v>37518</v>
      </c>
    </row>
    <row r="52" spans="1:5" ht="15">
      <c r="A52" s="46" t="s">
        <v>13</v>
      </c>
      <c r="B52" s="46">
        <v>22153</v>
      </c>
      <c r="C52" s="85">
        <f>540+329+759+511+168+346+135+401+270+406+532+201+416+716+209+318+544+1004+287+269+934+901+534+878+844+1100+725+688+590+1335+1240+418+2824+1226+1603+825+1233+861+1339+1503+411+528+1620+679+635+491+636+930+322</f>
        <v>36214</v>
      </c>
      <c r="D52" s="143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2" s="127">
        <f>1735+645+208+207+1208+1389+576+771+402+234+407+237+603+512+562+568+267+1759+758+548+584+958+358+914+402+365+254+229+441+372+405+365+264+296+666+646+339+103+725+719+470+479+400+511+993+663+820+1828+791+170</f>
        <v>30126</v>
      </c>
    </row>
    <row r="53" spans="1:7" ht="15.75" thickBot="1">
      <c r="A53" s="46" t="s">
        <v>90</v>
      </c>
      <c r="B53" s="46">
        <v>161550</v>
      </c>
      <c r="C53" s="85">
        <f>31849+21249+27982</f>
        <v>81080</v>
      </c>
      <c r="D53" s="143">
        <f>236+4206+2320+14699+21493+23043+26457+20376+54124+1726</f>
        <v>168680</v>
      </c>
      <c r="E53" s="127">
        <f>11978+42486+42444+7095+33031+19469+25790+53650+33449+69470+80441+52138+62349+950+42000+52414+18866+31165</f>
        <v>679185</v>
      </c>
      <c r="G53" s="1" t="s">
        <v>62</v>
      </c>
    </row>
    <row r="54" spans="1:10" ht="15">
      <c r="A54" s="51" t="s">
        <v>25</v>
      </c>
      <c r="B54" s="51">
        <v>48880</v>
      </c>
      <c r="C54" s="85">
        <f>25083+24806+39128+27873+22427</f>
        <v>139317</v>
      </c>
      <c r="D54" s="143">
        <f>18608+30231+50170+2930+92055+7681+84537+77568+54112+24125+34803+39324+29995+45209+4967</f>
        <v>596315</v>
      </c>
      <c r="E54" s="127">
        <f>46145+3295+50613+27747+22252+48145</f>
        <v>198197</v>
      </c>
      <c r="G54" s="41"/>
      <c r="H54" s="31" t="s">
        <v>52</v>
      </c>
      <c r="I54" s="31" t="s">
        <v>58</v>
      </c>
      <c r="J54" s="32" t="s">
        <v>57</v>
      </c>
    </row>
    <row r="55" spans="1:10" ht="15">
      <c r="A55" s="51" t="s">
        <v>22</v>
      </c>
      <c r="B55" s="51"/>
      <c r="C55" s="149"/>
      <c r="D55" s="144">
        <v>1009</v>
      </c>
      <c r="E55" s="128">
        <v>1011</v>
      </c>
      <c r="G55" s="48" t="s">
        <v>63</v>
      </c>
      <c r="H55" s="49">
        <f>H43+H31</f>
        <v>1939283</v>
      </c>
      <c r="I55" s="49">
        <f>I43+I31</f>
        <v>1939283</v>
      </c>
      <c r="J55" s="50">
        <f>J43+J31</f>
        <v>1939283</v>
      </c>
    </row>
    <row r="56" spans="1:10" ht="15">
      <c r="A56" s="46" t="s">
        <v>110</v>
      </c>
      <c r="B56" s="46">
        <v>229</v>
      </c>
      <c r="C56" s="85"/>
      <c r="D56" s="143"/>
      <c r="E56" s="127"/>
      <c r="G56" s="75" t="s">
        <v>129</v>
      </c>
      <c r="H56" s="29">
        <f>E79+E44</f>
        <v>1939283</v>
      </c>
      <c r="I56" s="29">
        <f>H56</f>
        <v>1939283</v>
      </c>
      <c r="J56" s="42">
        <f>I56</f>
        <v>1939283</v>
      </c>
    </row>
    <row r="57" spans="1:10" ht="15">
      <c r="A57" s="83" t="s">
        <v>86</v>
      </c>
      <c r="B57" s="83">
        <v>28100</v>
      </c>
      <c r="C57" s="85"/>
      <c r="D57" s="143"/>
      <c r="E57" s="127"/>
      <c r="G57" s="36" t="s">
        <v>54</v>
      </c>
      <c r="H57" s="29">
        <f>H55-H56</f>
        <v>0</v>
      </c>
      <c r="I57" s="29">
        <f>I55-I56</f>
        <v>0</v>
      </c>
      <c r="J57" s="42">
        <f>J55-J56</f>
        <v>0</v>
      </c>
    </row>
    <row r="58" spans="1:10" ht="15">
      <c r="A58" s="83" t="s">
        <v>47</v>
      </c>
      <c r="B58" s="83"/>
      <c r="C58" s="85"/>
      <c r="D58" s="143">
        <f>382+452+516</f>
        <v>1350</v>
      </c>
      <c r="E58" s="127">
        <f>1200+1170+1170</f>
        <v>3540</v>
      </c>
      <c r="G58" s="36" t="s">
        <v>55</v>
      </c>
      <c r="H58" s="29">
        <f>$H$34</f>
        <v>0</v>
      </c>
      <c r="I58" s="29">
        <f>$H$34</f>
        <v>0</v>
      </c>
      <c r="J58" s="42">
        <f>$H$34</f>
        <v>0</v>
      </c>
    </row>
    <row r="59" spans="1:10" ht="15.75" thickBot="1">
      <c r="A59" s="51" t="s">
        <v>80</v>
      </c>
      <c r="B59" s="51"/>
      <c r="C59" s="85"/>
      <c r="D59" s="143"/>
      <c r="E59" s="127"/>
      <c r="G59" s="43" t="s">
        <v>56</v>
      </c>
      <c r="H59" s="33" t="e">
        <f>H57/H58</f>
        <v>#DIV/0!</v>
      </c>
      <c r="I59" s="33" t="e">
        <f>I57/I58</f>
        <v>#DIV/0!</v>
      </c>
      <c r="J59" s="34" t="e">
        <f>J57/J58</f>
        <v>#DIV/0!</v>
      </c>
    </row>
    <row r="60" spans="1:10" ht="15">
      <c r="A60" s="83" t="s">
        <v>43</v>
      </c>
      <c r="B60" s="83">
        <v>7700</v>
      </c>
      <c r="C60" s="85"/>
      <c r="D60" s="143"/>
      <c r="E60" s="127"/>
      <c r="F60" s="2"/>
      <c r="G60" s="55"/>
      <c r="H60" s="63"/>
      <c r="I60" s="74"/>
      <c r="J60" s="63"/>
    </row>
    <row r="61" spans="1:12" ht="15">
      <c r="A61" s="83" t="s">
        <v>118</v>
      </c>
      <c r="B61" s="83">
        <v>302259</v>
      </c>
      <c r="C61" s="85">
        <f>594+1100+5818+12152</f>
        <v>19664</v>
      </c>
      <c r="D61" s="143">
        <f>2544+29810+36024+30166+49500</f>
        <v>148044</v>
      </c>
      <c r="E61" s="127">
        <f>49630+9680+41602+33853+25009+10668+42327+700+405+600</f>
        <v>214474</v>
      </c>
      <c r="L61" s="65"/>
    </row>
    <row r="62" spans="1:12" ht="15">
      <c r="A62" s="46" t="s">
        <v>78</v>
      </c>
      <c r="B62" s="46"/>
      <c r="C62" s="85"/>
      <c r="D62" s="143"/>
      <c r="E62" s="127"/>
      <c r="L62" s="64"/>
    </row>
    <row r="63" spans="1:12" ht="15">
      <c r="A63" s="46" t="s">
        <v>79</v>
      </c>
      <c r="B63" s="46"/>
      <c r="C63" s="85"/>
      <c r="D63" s="143"/>
      <c r="E63" s="127"/>
      <c r="L63" s="64"/>
    </row>
    <row r="64" spans="1:12" ht="15">
      <c r="A64" s="46" t="s">
        <v>21</v>
      </c>
      <c r="B64" s="46">
        <v>4109</v>
      </c>
      <c r="C64" s="85">
        <f>352+2002</f>
        <v>2354</v>
      </c>
      <c r="D64" s="143">
        <f>1757+280+280+473+2151</f>
        <v>4941</v>
      </c>
      <c r="E64" s="127"/>
      <c r="G64" s="28"/>
      <c r="L64" s="28"/>
    </row>
    <row r="65" spans="1:12" ht="15">
      <c r="A65" s="46" t="s">
        <v>95</v>
      </c>
      <c r="B65" s="46"/>
      <c r="C65" s="85"/>
      <c r="D65" s="143">
        <f>5812+7883</f>
        <v>13695</v>
      </c>
      <c r="E65" s="127"/>
      <c r="G65" s="28"/>
      <c r="L65" s="28"/>
    </row>
    <row r="66" spans="1:5" ht="15">
      <c r="A66" s="46" t="s">
        <v>5</v>
      </c>
      <c r="B66" s="46"/>
      <c r="C66" s="85"/>
      <c r="D66" s="143"/>
      <c r="E66" s="127"/>
    </row>
    <row r="67" spans="1:7" ht="15">
      <c r="A67" s="46" t="s">
        <v>97</v>
      </c>
      <c r="B67" s="46"/>
      <c r="C67" s="85"/>
      <c r="D67" s="143"/>
      <c r="E67" s="127">
        <f>26273+26226</f>
        <v>52499</v>
      </c>
      <c r="G67" s="28"/>
    </row>
    <row r="68" spans="1:7" ht="15">
      <c r="A68" s="83" t="s">
        <v>133</v>
      </c>
      <c r="B68" s="46"/>
      <c r="C68" s="85"/>
      <c r="D68" s="143"/>
      <c r="E68" s="127">
        <f>5958+50001</f>
        <v>55959</v>
      </c>
      <c r="G68" s="28"/>
    </row>
    <row r="69" spans="1:5" ht="15">
      <c r="A69" s="51" t="s">
        <v>26</v>
      </c>
      <c r="B69" s="51">
        <v>2537</v>
      </c>
      <c r="C69" s="85"/>
      <c r="D69" s="143"/>
      <c r="E69" s="127"/>
    </row>
    <row r="70" spans="1:5" ht="15">
      <c r="A70" s="51" t="s">
        <v>24</v>
      </c>
      <c r="B70" s="51"/>
      <c r="C70" s="85"/>
      <c r="D70" s="143"/>
      <c r="E70" s="127"/>
    </row>
    <row r="71" spans="1:5" ht="15">
      <c r="A71" s="46" t="s">
        <v>17</v>
      </c>
      <c r="B71" s="46"/>
      <c r="C71" s="85"/>
      <c r="D71" s="143"/>
      <c r="E71" s="127"/>
    </row>
    <row r="72" spans="1:5" ht="15">
      <c r="A72" s="46" t="s">
        <v>85</v>
      </c>
      <c r="B72" s="46"/>
      <c r="C72" s="85"/>
      <c r="D72" s="143"/>
      <c r="E72" s="127"/>
    </row>
    <row r="73" spans="1:5" ht="15">
      <c r="A73" s="46" t="s">
        <v>87</v>
      </c>
      <c r="B73" s="46"/>
      <c r="C73" s="85"/>
      <c r="D73" s="143"/>
      <c r="E73" s="127"/>
    </row>
    <row r="74" spans="1:5" ht="15">
      <c r="A74" s="46" t="s">
        <v>15</v>
      </c>
      <c r="B74" s="46">
        <v>263</v>
      </c>
      <c r="C74" s="85"/>
      <c r="D74" s="143">
        <f>638+633+506+319+1025+397+1008+1075+488+2034+1910+904+1675+1248+531+66+1085+775+587+1489+1543+1213+968+359+174+70+1035+366+951+598+365+69+318+784</f>
        <v>27206</v>
      </c>
      <c r="E74" s="127">
        <f>65+35+281+552+542+521+765+247+36+573</f>
        <v>3617</v>
      </c>
    </row>
    <row r="75" spans="1:5" ht="15">
      <c r="A75" s="51" t="s">
        <v>44</v>
      </c>
      <c r="B75" s="51">
        <v>40800</v>
      </c>
      <c r="C75" s="85"/>
      <c r="D75" s="143"/>
      <c r="E75" s="127"/>
    </row>
    <row r="76" spans="1:5" ht="15">
      <c r="A76" s="137" t="s">
        <v>91</v>
      </c>
      <c r="B76" s="110"/>
      <c r="C76" s="84"/>
      <c r="D76" s="143"/>
      <c r="E76" s="127">
        <v>50078</v>
      </c>
    </row>
    <row r="77" spans="1:6" ht="15">
      <c r="A77" s="52" t="s">
        <v>49</v>
      </c>
      <c r="B77" s="110"/>
      <c r="C77" s="84"/>
      <c r="D77" s="143"/>
      <c r="E77" s="127"/>
      <c r="F77" s="54"/>
    </row>
    <row r="78" spans="1:6" ht="15">
      <c r="A78" s="137" t="s">
        <v>117</v>
      </c>
      <c r="B78" s="110"/>
      <c r="C78" s="84"/>
      <c r="D78" s="143">
        <v>473</v>
      </c>
      <c r="E78" s="127"/>
      <c r="F78" s="55"/>
    </row>
    <row r="79" spans="1:19" ht="15">
      <c r="A79" s="47" t="s">
        <v>6</v>
      </c>
      <c r="B79" s="111">
        <f>SUM(B48:B78)</f>
        <v>711250</v>
      </c>
      <c r="C79" s="140">
        <f>SUM(C48:C64)</f>
        <v>392095</v>
      </c>
      <c r="D79" s="150">
        <f>SUM(D48:D78)</f>
        <v>1123482</v>
      </c>
      <c r="E79" s="150">
        <f>SUM(E48:E78)</f>
        <v>1403269</v>
      </c>
      <c r="F79" s="127">
        <f>'Weekliks-Weekly'!J59</f>
        <v>1403269</v>
      </c>
      <c r="O79" s="3"/>
      <c r="P79" s="3"/>
      <c r="Q79" s="3"/>
      <c r="R79" s="3"/>
      <c r="S79" s="3"/>
    </row>
    <row r="80" spans="1:6" ht="12.75">
      <c r="A80" s="47" t="s">
        <v>9</v>
      </c>
      <c r="B80" s="111">
        <f>B44+B79</f>
        <v>2442493</v>
      </c>
      <c r="C80" s="140">
        <f>C44+C79</f>
        <v>1787248</v>
      </c>
      <c r="D80" s="150">
        <f>D44+D79</f>
        <v>2024709</v>
      </c>
      <c r="E80" s="150">
        <f>E44+E79</f>
        <v>1939283</v>
      </c>
      <c r="F80" s="56"/>
    </row>
    <row r="81" ht="12.75">
      <c r="F81" s="28"/>
    </row>
  </sheetData>
  <sheetProtection/>
  <mergeCells count="1">
    <mergeCell ref="G24:G25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zoomScale="115" zoomScaleNormal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4" sqref="N54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71" customWidth="1"/>
    <col min="4" max="4" width="11.7109375" style="71" customWidth="1"/>
    <col min="5" max="5" width="11.57421875" style="71" customWidth="1"/>
    <col min="6" max="6" width="11.28125" style="71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103" t="s">
        <v>114</v>
      </c>
      <c r="D1" s="67"/>
      <c r="E1" s="67"/>
    </row>
    <row r="2" spans="3:15" s="3" customFormat="1" ht="15">
      <c r="C2" s="103" t="s">
        <v>115</v>
      </c>
      <c r="D2" s="67"/>
      <c r="E2" s="67"/>
      <c r="O2" s="86" t="s">
        <v>88</v>
      </c>
    </row>
    <row r="3" spans="3:6" s="3" customFormat="1" ht="13.5" thickBot="1">
      <c r="C3" s="67"/>
      <c r="D3" s="67"/>
      <c r="E3" s="67"/>
      <c r="F3" s="67"/>
    </row>
    <row r="4" spans="2:14" s="1" customFormat="1" ht="13.5" thickBot="1">
      <c r="B4" s="4"/>
      <c r="C4" s="68" t="s">
        <v>27</v>
      </c>
      <c r="D4" s="69" t="s">
        <v>28</v>
      </c>
      <c r="E4" s="115" t="s">
        <v>27</v>
      </c>
      <c r="F4" s="76" t="s">
        <v>28</v>
      </c>
      <c r="G4" s="6" t="s">
        <v>29</v>
      </c>
      <c r="H4" s="5" t="s">
        <v>30</v>
      </c>
      <c r="I4" s="8" t="s">
        <v>29</v>
      </c>
      <c r="J4" s="7" t="s">
        <v>30</v>
      </c>
      <c r="K4" s="8" t="s">
        <v>31</v>
      </c>
      <c r="L4" s="9" t="s">
        <v>32</v>
      </c>
      <c r="M4" s="8" t="s">
        <v>31</v>
      </c>
      <c r="N4" s="9" t="s">
        <v>32</v>
      </c>
    </row>
    <row r="5" spans="2:17" s="3" customFormat="1" ht="13.5" thickBot="1">
      <c r="B5" s="10" t="s">
        <v>33</v>
      </c>
      <c r="C5" s="119" t="s">
        <v>34</v>
      </c>
      <c r="D5" s="120" t="s">
        <v>35</v>
      </c>
      <c r="E5" s="113" t="s">
        <v>34</v>
      </c>
      <c r="F5" s="77" t="s">
        <v>35</v>
      </c>
      <c r="G5" s="123" t="s">
        <v>34</v>
      </c>
      <c r="H5" s="11" t="s">
        <v>35</v>
      </c>
      <c r="I5" s="117" t="s">
        <v>34</v>
      </c>
      <c r="J5" s="12" t="s">
        <v>35</v>
      </c>
      <c r="K5" s="13" t="s">
        <v>36</v>
      </c>
      <c r="L5" s="14" t="s">
        <v>37</v>
      </c>
      <c r="M5" s="13" t="s">
        <v>36</v>
      </c>
      <c r="N5" s="14" t="s">
        <v>37</v>
      </c>
      <c r="P5" s="15"/>
      <c r="Q5" s="15"/>
    </row>
    <row r="6" spans="2:14" s="3" customFormat="1" ht="13.5" thickBot="1">
      <c r="B6" s="10" t="s">
        <v>38</v>
      </c>
      <c r="C6" s="121"/>
      <c r="D6" s="118"/>
      <c r="E6" s="116" t="s">
        <v>39</v>
      </c>
      <c r="F6" s="78" t="s">
        <v>40</v>
      </c>
      <c r="G6" s="122"/>
      <c r="H6" s="16"/>
      <c r="I6" s="117" t="s">
        <v>39</v>
      </c>
      <c r="J6" s="17" t="s">
        <v>40</v>
      </c>
      <c r="K6" s="18" t="s">
        <v>41</v>
      </c>
      <c r="L6" s="19" t="s">
        <v>41</v>
      </c>
      <c r="M6" s="13" t="s">
        <v>39</v>
      </c>
      <c r="N6" s="14" t="s">
        <v>40</v>
      </c>
    </row>
    <row r="7" spans="2:14" s="3" customFormat="1" ht="13.5" thickBot="1">
      <c r="B7" s="20"/>
      <c r="C7" s="114" t="s">
        <v>42</v>
      </c>
      <c r="D7" s="70" t="s">
        <v>42</v>
      </c>
      <c r="E7" s="113" t="s">
        <v>42</v>
      </c>
      <c r="F7" s="100" t="s">
        <v>42</v>
      </c>
      <c r="G7" s="101" t="s">
        <v>42</v>
      </c>
      <c r="H7" s="102" t="s">
        <v>42</v>
      </c>
      <c r="I7" s="13" t="s">
        <v>42</v>
      </c>
      <c r="J7" s="21" t="s">
        <v>42</v>
      </c>
      <c r="K7" s="23" t="s">
        <v>42</v>
      </c>
      <c r="L7" s="23" t="s">
        <v>42</v>
      </c>
      <c r="M7" s="23" t="s">
        <v>42</v>
      </c>
      <c r="N7" s="22" t="s">
        <v>42</v>
      </c>
    </row>
    <row r="8" spans="1:14" s="3" customFormat="1" ht="15">
      <c r="A8" s="3">
        <v>1</v>
      </c>
      <c r="B8" s="129">
        <v>41397</v>
      </c>
      <c r="C8" s="131">
        <v>0</v>
      </c>
      <c r="D8" s="131">
        <v>0</v>
      </c>
      <c r="E8" s="80">
        <f>+C8</f>
        <v>0</v>
      </c>
      <c r="F8" s="80">
        <f>+D8</f>
        <v>0</v>
      </c>
      <c r="G8" s="127">
        <v>9285</v>
      </c>
      <c r="H8" s="127">
        <v>3063</v>
      </c>
      <c r="I8" s="24">
        <f>+G8</f>
        <v>9285</v>
      </c>
      <c r="J8" s="24">
        <f>+H8</f>
        <v>3063</v>
      </c>
      <c r="K8" s="24">
        <f aca="true" t="shared" si="0" ref="K8:K59">C8+D8</f>
        <v>0</v>
      </c>
      <c r="L8" s="24">
        <f aca="true" t="shared" si="1" ref="L8:L59">G8+H8</f>
        <v>12348</v>
      </c>
      <c r="M8" s="24">
        <f aca="true" t="shared" si="2" ref="M8:M59">E8+F8</f>
        <v>0</v>
      </c>
      <c r="N8" s="24">
        <f aca="true" t="shared" si="3" ref="N8:N59">I8+J8</f>
        <v>12348</v>
      </c>
    </row>
    <row r="9" spans="1:14" s="3" customFormat="1" ht="15">
      <c r="A9" s="3">
        <f>A8+1</f>
        <v>2</v>
      </c>
      <c r="B9" s="129">
        <v>41404</v>
      </c>
      <c r="C9" s="131">
        <v>0</v>
      </c>
      <c r="D9" s="131">
        <v>0</v>
      </c>
      <c r="E9" s="81">
        <f>E8+C9</f>
        <v>0</v>
      </c>
      <c r="F9" s="81">
        <f>F8+D9</f>
        <v>0</v>
      </c>
      <c r="G9" s="127">
        <v>13299</v>
      </c>
      <c r="H9" s="127">
        <v>5926</v>
      </c>
      <c r="I9" s="25">
        <f>I8+G9</f>
        <v>22584</v>
      </c>
      <c r="J9" s="25">
        <f>J8+H9</f>
        <v>8989</v>
      </c>
      <c r="K9" s="25">
        <f t="shared" si="0"/>
        <v>0</v>
      </c>
      <c r="L9" s="25">
        <f t="shared" si="1"/>
        <v>19225</v>
      </c>
      <c r="M9" s="25">
        <f t="shared" si="2"/>
        <v>0</v>
      </c>
      <c r="N9" s="25">
        <f t="shared" si="3"/>
        <v>31573</v>
      </c>
    </row>
    <row r="10" spans="1:14" ht="15">
      <c r="A10" s="3">
        <f aca="true" t="shared" si="4" ref="A10:A59">A9+1</f>
        <v>3</v>
      </c>
      <c r="B10" s="129">
        <v>41411</v>
      </c>
      <c r="C10" s="131">
        <v>0</v>
      </c>
      <c r="D10" s="131">
        <v>0</v>
      </c>
      <c r="E10" s="81">
        <f aca="true" t="shared" si="5" ref="E10:F25">E9+C10</f>
        <v>0</v>
      </c>
      <c r="F10" s="81">
        <f t="shared" si="5"/>
        <v>0</v>
      </c>
      <c r="G10" s="127">
        <v>13614</v>
      </c>
      <c r="H10" s="127">
        <v>46321</v>
      </c>
      <c r="I10" s="25">
        <f aca="true" t="shared" si="6" ref="I10:J25">I9+G10</f>
        <v>36198</v>
      </c>
      <c r="J10" s="25">
        <f t="shared" si="6"/>
        <v>55310</v>
      </c>
      <c r="K10" s="25">
        <f t="shared" si="0"/>
        <v>0</v>
      </c>
      <c r="L10" s="25">
        <f t="shared" si="1"/>
        <v>59935</v>
      </c>
      <c r="M10" s="25">
        <f t="shared" si="2"/>
        <v>0</v>
      </c>
      <c r="N10" s="25">
        <f t="shared" si="3"/>
        <v>91508</v>
      </c>
    </row>
    <row r="11" spans="1:14" ht="15">
      <c r="A11" s="3">
        <f t="shared" si="4"/>
        <v>4</v>
      </c>
      <c r="B11" s="129">
        <v>41418</v>
      </c>
      <c r="C11" s="131">
        <v>0</v>
      </c>
      <c r="D11" s="131">
        <v>0</v>
      </c>
      <c r="E11" s="81">
        <f t="shared" si="5"/>
        <v>0</v>
      </c>
      <c r="F11" s="81">
        <f t="shared" si="5"/>
        <v>0</v>
      </c>
      <c r="G11" s="127">
        <v>46154</v>
      </c>
      <c r="H11" s="127">
        <v>1461</v>
      </c>
      <c r="I11" s="25">
        <f t="shared" si="6"/>
        <v>82352</v>
      </c>
      <c r="J11" s="25">
        <f t="shared" si="6"/>
        <v>56771</v>
      </c>
      <c r="K11" s="25">
        <f t="shared" si="0"/>
        <v>0</v>
      </c>
      <c r="L11" s="25">
        <f t="shared" si="1"/>
        <v>47615</v>
      </c>
      <c r="M11" s="25">
        <f t="shared" si="2"/>
        <v>0</v>
      </c>
      <c r="N11" s="25">
        <f t="shared" si="3"/>
        <v>139123</v>
      </c>
    </row>
    <row r="12" spans="1:14" ht="15">
      <c r="A12" s="3">
        <f t="shared" si="4"/>
        <v>5</v>
      </c>
      <c r="B12" s="129">
        <v>41425</v>
      </c>
      <c r="C12" s="131">
        <v>0</v>
      </c>
      <c r="D12" s="131">
        <v>0</v>
      </c>
      <c r="E12" s="81">
        <v>0</v>
      </c>
      <c r="F12" s="81">
        <f t="shared" si="5"/>
        <v>0</v>
      </c>
      <c r="G12" s="127">
        <v>8206</v>
      </c>
      <c r="H12" s="127">
        <v>86525</v>
      </c>
      <c r="I12" s="25">
        <f t="shared" si="6"/>
        <v>90558</v>
      </c>
      <c r="J12" s="25">
        <f t="shared" si="6"/>
        <v>143296</v>
      </c>
      <c r="K12" s="25">
        <f t="shared" si="0"/>
        <v>0</v>
      </c>
      <c r="L12" s="25">
        <f t="shared" si="1"/>
        <v>94731</v>
      </c>
      <c r="M12" s="25">
        <f t="shared" si="2"/>
        <v>0</v>
      </c>
      <c r="N12" s="25">
        <f t="shared" si="3"/>
        <v>233854</v>
      </c>
    </row>
    <row r="13" spans="1:14" ht="15">
      <c r="A13" s="3">
        <f t="shared" si="4"/>
        <v>6</v>
      </c>
      <c r="B13" s="130">
        <v>41432</v>
      </c>
      <c r="C13" s="131">
        <v>0</v>
      </c>
      <c r="D13" s="131">
        <v>0</v>
      </c>
      <c r="E13" s="81">
        <f t="shared" si="5"/>
        <v>0</v>
      </c>
      <c r="F13" s="81">
        <f t="shared" si="5"/>
        <v>0</v>
      </c>
      <c r="G13" s="127">
        <v>4475</v>
      </c>
      <c r="H13" s="127">
        <v>63359</v>
      </c>
      <c r="I13" s="25">
        <f t="shared" si="6"/>
        <v>95033</v>
      </c>
      <c r="J13" s="25">
        <f t="shared" si="6"/>
        <v>206655</v>
      </c>
      <c r="K13" s="25">
        <f t="shared" si="0"/>
        <v>0</v>
      </c>
      <c r="L13" s="25">
        <f t="shared" si="1"/>
        <v>67834</v>
      </c>
      <c r="M13" s="25">
        <f t="shared" si="2"/>
        <v>0</v>
      </c>
      <c r="N13" s="25">
        <f t="shared" si="3"/>
        <v>301688</v>
      </c>
    </row>
    <row r="14" spans="1:14" ht="15">
      <c r="A14" s="3">
        <f t="shared" si="4"/>
        <v>7</v>
      </c>
      <c r="B14" s="130">
        <v>41439</v>
      </c>
      <c r="C14" s="131">
        <v>0</v>
      </c>
      <c r="D14" s="131">
        <v>0</v>
      </c>
      <c r="E14" s="81">
        <f t="shared" si="5"/>
        <v>0</v>
      </c>
      <c r="F14" s="81">
        <f t="shared" si="5"/>
        <v>0</v>
      </c>
      <c r="G14" s="127">
        <v>5555</v>
      </c>
      <c r="H14" s="127">
        <v>37776</v>
      </c>
      <c r="I14" s="25">
        <f t="shared" si="6"/>
        <v>100588</v>
      </c>
      <c r="J14" s="25">
        <f t="shared" si="6"/>
        <v>244431</v>
      </c>
      <c r="K14" s="25">
        <f t="shared" si="0"/>
        <v>0</v>
      </c>
      <c r="L14" s="25">
        <f t="shared" si="1"/>
        <v>43331</v>
      </c>
      <c r="M14" s="25">
        <f t="shared" si="2"/>
        <v>0</v>
      </c>
      <c r="N14" s="25">
        <f t="shared" si="3"/>
        <v>345019</v>
      </c>
    </row>
    <row r="15" spans="1:14" ht="15">
      <c r="A15" s="3">
        <f t="shared" si="4"/>
        <v>8</v>
      </c>
      <c r="B15" s="130">
        <v>41446</v>
      </c>
      <c r="C15" s="131">
        <v>0</v>
      </c>
      <c r="D15" s="131">
        <v>0</v>
      </c>
      <c r="E15" s="81">
        <f t="shared" si="5"/>
        <v>0</v>
      </c>
      <c r="F15" s="81">
        <f t="shared" si="5"/>
        <v>0</v>
      </c>
      <c r="G15" s="127">
        <v>4514</v>
      </c>
      <c r="H15" s="127">
        <v>53881</v>
      </c>
      <c r="I15" s="25">
        <f t="shared" si="6"/>
        <v>105102</v>
      </c>
      <c r="J15" s="25">
        <f t="shared" si="6"/>
        <v>298312</v>
      </c>
      <c r="K15" s="25">
        <f t="shared" si="0"/>
        <v>0</v>
      </c>
      <c r="L15" s="25">
        <f t="shared" si="1"/>
        <v>58395</v>
      </c>
      <c r="M15" s="25">
        <f t="shared" si="2"/>
        <v>0</v>
      </c>
      <c r="N15" s="25">
        <f t="shared" si="3"/>
        <v>403414</v>
      </c>
    </row>
    <row r="16" spans="1:14" ht="15">
      <c r="A16" s="3">
        <f t="shared" si="4"/>
        <v>9</v>
      </c>
      <c r="B16" s="130">
        <v>41453</v>
      </c>
      <c r="C16" s="131">
        <v>0</v>
      </c>
      <c r="D16" s="131">
        <v>0</v>
      </c>
      <c r="E16" s="81">
        <f t="shared" si="5"/>
        <v>0</v>
      </c>
      <c r="F16" s="81">
        <f t="shared" si="5"/>
        <v>0</v>
      </c>
      <c r="G16" s="127">
        <v>40065</v>
      </c>
      <c r="H16" s="127">
        <v>79455</v>
      </c>
      <c r="I16" s="25">
        <f t="shared" si="6"/>
        <v>145167</v>
      </c>
      <c r="J16" s="25">
        <f t="shared" si="6"/>
        <v>377767</v>
      </c>
      <c r="K16" s="25">
        <f t="shared" si="0"/>
        <v>0</v>
      </c>
      <c r="L16" s="25">
        <f t="shared" si="1"/>
        <v>119520</v>
      </c>
      <c r="M16" s="25">
        <f t="shared" si="2"/>
        <v>0</v>
      </c>
      <c r="N16" s="25">
        <f t="shared" si="3"/>
        <v>522934</v>
      </c>
    </row>
    <row r="17" spans="1:14" ht="15">
      <c r="A17" s="3">
        <f t="shared" si="4"/>
        <v>10</v>
      </c>
      <c r="B17" s="130">
        <v>41460</v>
      </c>
      <c r="C17" s="131">
        <v>0</v>
      </c>
      <c r="D17" s="131">
        <v>0</v>
      </c>
      <c r="E17" s="81">
        <f t="shared" si="5"/>
        <v>0</v>
      </c>
      <c r="F17" s="81">
        <f t="shared" si="5"/>
        <v>0</v>
      </c>
      <c r="G17" s="127">
        <v>13457</v>
      </c>
      <c r="H17" s="127">
        <v>81086</v>
      </c>
      <c r="I17" s="25">
        <f t="shared" si="6"/>
        <v>158624</v>
      </c>
      <c r="J17" s="25">
        <f t="shared" si="6"/>
        <v>458853</v>
      </c>
      <c r="K17" s="25">
        <f>C17+D17</f>
        <v>0</v>
      </c>
      <c r="L17" s="25">
        <f t="shared" si="1"/>
        <v>94543</v>
      </c>
      <c r="M17" s="25">
        <f t="shared" si="2"/>
        <v>0</v>
      </c>
      <c r="N17" s="25">
        <f t="shared" si="3"/>
        <v>617477</v>
      </c>
    </row>
    <row r="18" spans="1:14" ht="15">
      <c r="A18" s="3">
        <f t="shared" si="4"/>
        <v>11</v>
      </c>
      <c r="B18" s="130">
        <v>41467</v>
      </c>
      <c r="C18" s="131">
        <v>0</v>
      </c>
      <c r="D18" s="131">
        <v>0</v>
      </c>
      <c r="E18" s="81">
        <f t="shared" si="5"/>
        <v>0</v>
      </c>
      <c r="F18" s="81">
        <f t="shared" si="5"/>
        <v>0</v>
      </c>
      <c r="G18" s="127">
        <v>5191</v>
      </c>
      <c r="H18" s="127">
        <v>86946</v>
      </c>
      <c r="I18" s="25">
        <f t="shared" si="6"/>
        <v>163815</v>
      </c>
      <c r="J18" s="25">
        <f t="shared" si="6"/>
        <v>545799</v>
      </c>
      <c r="K18" s="25">
        <f t="shared" si="0"/>
        <v>0</v>
      </c>
      <c r="L18" s="25">
        <f t="shared" si="1"/>
        <v>92137</v>
      </c>
      <c r="M18" s="25">
        <f t="shared" si="2"/>
        <v>0</v>
      </c>
      <c r="N18" s="25">
        <f t="shared" si="3"/>
        <v>709614</v>
      </c>
    </row>
    <row r="19" spans="1:14" ht="15">
      <c r="A19" s="3">
        <f t="shared" si="4"/>
        <v>12</v>
      </c>
      <c r="B19" s="130">
        <v>41474</v>
      </c>
      <c r="C19" s="131">
        <v>0</v>
      </c>
      <c r="D19" s="131">
        <v>0</v>
      </c>
      <c r="E19" s="81">
        <f t="shared" si="5"/>
        <v>0</v>
      </c>
      <c r="F19" s="81">
        <f t="shared" si="5"/>
        <v>0</v>
      </c>
      <c r="G19" s="127">
        <v>9416</v>
      </c>
      <c r="H19" s="127">
        <v>12008</v>
      </c>
      <c r="I19" s="25">
        <f t="shared" si="6"/>
        <v>173231</v>
      </c>
      <c r="J19" s="25">
        <f t="shared" si="6"/>
        <v>557807</v>
      </c>
      <c r="K19" s="25">
        <f t="shared" si="0"/>
        <v>0</v>
      </c>
      <c r="L19" s="25">
        <f t="shared" si="1"/>
        <v>21424</v>
      </c>
      <c r="M19" s="25">
        <f t="shared" si="2"/>
        <v>0</v>
      </c>
      <c r="N19" s="25">
        <f t="shared" si="3"/>
        <v>731038</v>
      </c>
    </row>
    <row r="20" spans="1:14" ht="15">
      <c r="A20" s="3">
        <f t="shared" si="4"/>
        <v>13</v>
      </c>
      <c r="B20" s="130">
        <v>41481</v>
      </c>
      <c r="C20" s="131">
        <v>0</v>
      </c>
      <c r="D20" s="131">
        <v>0</v>
      </c>
      <c r="E20" s="81">
        <f t="shared" si="5"/>
        <v>0</v>
      </c>
      <c r="F20" s="81">
        <f t="shared" si="5"/>
        <v>0</v>
      </c>
      <c r="G20" s="127">
        <v>46862</v>
      </c>
      <c r="H20" s="127">
        <v>94852</v>
      </c>
      <c r="I20" s="25">
        <f t="shared" si="6"/>
        <v>220093</v>
      </c>
      <c r="J20" s="25">
        <f t="shared" si="6"/>
        <v>652659</v>
      </c>
      <c r="K20" s="25">
        <f t="shared" si="0"/>
        <v>0</v>
      </c>
      <c r="L20" s="25">
        <f t="shared" si="1"/>
        <v>141714</v>
      </c>
      <c r="M20" s="25">
        <f t="shared" si="2"/>
        <v>0</v>
      </c>
      <c r="N20" s="25">
        <f t="shared" si="3"/>
        <v>872752</v>
      </c>
    </row>
    <row r="21" spans="1:14" ht="15">
      <c r="A21" s="3">
        <f t="shared" si="4"/>
        <v>14</v>
      </c>
      <c r="B21" s="130">
        <v>41488</v>
      </c>
      <c r="C21" s="131">
        <v>0</v>
      </c>
      <c r="D21" s="131">
        <v>0</v>
      </c>
      <c r="E21" s="81">
        <f t="shared" si="5"/>
        <v>0</v>
      </c>
      <c r="F21" s="81">
        <f t="shared" si="5"/>
        <v>0</v>
      </c>
      <c r="G21" s="127">
        <v>9951</v>
      </c>
      <c r="H21" s="127">
        <v>28354</v>
      </c>
      <c r="I21" s="25">
        <f t="shared" si="6"/>
        <v>230044</v>
      </c>
      <c r="J21" s="25">
        <f t="shared" si="6"/>
        <v>681013</v>
      </c>
      <c r="K21" s="25">
        <f t="shared" si="0"/>
        <v>0</v>
      </c>
      <c r="L21" s="25">
        <f t="shared" si="1"/>
        <v>38305</v>
      </c>
      <c r="M21" s="25">
        <f t="shared" si="2"/>
        <v>0</v>
      </c>
      <c r="N21" s="25">
        <f t="shared" si="3"/>
        <v>911057</v>
      </c>
    </row>
    <row r="22" spans="1:14" ht="15">
      <c r="A22" s="3">
        <f t="shared" si="4"/>
        <v>15</v>
      </c>
      <c r="B22" s="130">
        <v>41495</v>
      </c>
      <c r="C22" s="131">
        <v>0</v>
      </c>
      <c r="D22" s="131">
        <v>0</v>
      </c>
      <c r="E22" s="81">
        <f t="shared" si="5"/>
        <v>0</v>
      </c>
      <c r="F22" s="81">
        <f t="shared" si="5"/>
        <v>0</v>
      </c>
      <c r="G22" s="127">
        <v>37813</v>
      </c>
      <c r="H22" s="127">
        <v>68003</v>
      </c>
      <c r="I22" s="25">
        <f t="shared" si="6"/>
        <v>267857</v>
      </c>
      <c r="J22" s="25">
        <f t="shared" si="6"/>
        <v>749016</v>
      </c>
      <c r="K22" s="25">
        <f t="shared" si="0"/>
        <v>0</v>
      </c>
      <c r="L22" s="25">
        <f t="shared" si="1"/>
        <v>105816</v>
      </c>
      <c r="M22" s="25">
        <f t="shared" si="2"/>
        <v>0</v>
      </c>
      <c r="N22" s="25">
        <f t="shared" si="3"/>
        <v>1016873</v>
      </c>
    </row>
    <row r="23" spans="1:14" ht="15">
      <c r="A23" s="3">
        <f t="shared" si="4"/>
        <v>16</v>
      </c>
      <c r="B23" s="130">
        <v>41502</v>
      </c>
      <c r="C23" s="131">
        <v>0</v>
      </c>
      <c r="D23" s="131">
        <v>0</v>
      </c>
      <c r="E23" s="81">
        <f>E22+C23</f>
        <v>0</v>
      </c>
      <c r="F23" s="81">
        <f t="shared" si="5"/>
        <v>0</v>
      </c>
      <c r="G23" s="127">
        <v>16580</v>
      </c>
      <c r="H23" s="127">
        <v>84449</v>
      </c>
      <c r="I23" s="25">
        <f t="shared" si="6"/>
        <v>284437</v>
      </c>
      <c r="J23" s="25">
        <f t="shared" si="6"/>
        <v>833465</v>
      </c>
      <c r="K23" s="25">
        <f t="shared" si="0"/>
        <v>0</v>
      </c>
      <c r="L23" s="25">
        <f t="shared" si="1"/>
        <v>101029</v>
      </c>
      <c r="M23" s="25">
        <f t="shared" si="2"/>
        <v>0</v>
      </c>
      <c r="N23" s="25">
        <f t="shared" si="3"/>
        <v>1117902</v>
      </c>
    </row>
    <row r="24" spans="1:14" ht="15">
      <c r="A24" s="3">
        <f t="shared" si="4"/>
        <v>17</v>
      </c>
      <c r="B24" s="130">
        <v>41509</v>
      </c>
      <c r="C24" s="131">
        <v>0</v>
      </c>
      <c r="D24" s="131">
        <v>0</v>
      </c>
      <c r="E24" s="81">
        <f t="shared" si="5"/>
        <v>0</v>
      </c>
      <c r="F24" s="81">
        <f t="shared" si="5"/>
        <v>0</v>
      </c>
      <c r="G24" s="127">
        <v>11273</v>
      </c>
      <c r="H24" s="127">
        <v>40887</v>
      </c>
      <c r="I24" s="25">
        <f t="shared" si="6"/>
        <v>295710</v>
      </c>
      <c r="J24" s="25">
        <f t="shared" si="6"/>
        <v>874352</v>
      </c>
      <c r="K24" s="25">
        <f t="shared" si="0"/>
        <v>0</v>
      </c>
      <c r="L24" s="25">
        <f t="shared" si="1"/>
        <v>52160</v>
      </c>
      <c r="M24" s="25">
        <f t="shared" si="2"/>
        <v>0</v>
      </c>
      <c r="N24" s="25">
        <f t="shared" si="3"/>
        <v>1170062</v>
      </c>
    </row>
    <row r="25" spans="1:14" ht="15">
      <c r="A25" s="3">
        <f t="shared" si="4"/>
        <v>18</v>
      </c>
      <c r="B25" s="130">
        <v>41516</v>
      </c>
      <c r="C25" s="131">
        <v>0</v>
      </c>
      <c r="D25" s="131">
        <v>0</v>
      </c>
      <c r="E25" s="81">
        <f t="shared" si="5"/>
        <v>0</v>
      </c>
      <c r="F25" s="81">
        <f t="shared" si="5"/>
        <v>0</v>
      </c>
      <c r="G25" s="127">
        <v>17182</v>
      </c>
      <c r="H25" s="127">
        <v>36671</v>
      </c>
      <c r="I25" s="25">
        <f t="shared" si="6"/>
        <v>312892</v>
      </c>
      <c r="J25" s="25">
        <f t="shared" si="6"/>
        <v>911023</v>
      </c>
      <c r="K25" s="25">
        <f t="shared" si="0"/>
        <v>0</v>
      </c>
      <c r="L25" s="25">
        <f t="shared" si="1"/>
        <v>53853</v>
      </c>
      <c r="M25" s="25">
        <f t="shared" si="2"/>
        <v>0</v>
      </c>
      <c r="N25" s="25">
        <f t="shared" si="3"/>
        <v>1223915</v>
      </c>
    </row>
    <row r="26" spans="1:14" ht="15">
      <c r="A26" s="3">
        <f t="shared" si="4"/>
        <v>19</v>
      </c>
      <c r="B26" s="130">
        <v>41523</v>
      </c>
      <c r="C26" s="131">
        <v>0</v>
      </c>
      <c r="D26" s="131">
        <v>0</v>
      </c>
      <c r="E26" s="81">
        <f aca="true" t="shared" si="7" ref="E26:F41">E25+C26</f>
        <v>0</v>
      </c>
      <c r="F26" s="81">
        <f t="shared" si="7"/>
        <v>0</v>
      </c>
      <c r="G26" s="127">
        <v>37728</v>
      </c>
      <c r="H26" s="127">
        <v>33334</v>
      </c>
      <c r="I26" s="25">
        <f aca="true" t="shared" si="8" ref="I26:J41">I25+G26</f>
        <v>350620</v>
      </c>
      <c r="J26" s="25">
        <f t="shared" si="8"/>
        <v>944357</v>
      </c>
      <c r="K26" s="25">
        <f t="shared" si="0"/>
        <v>0</v>
      </c>
      <c r="L26" s="25">
        <f t="shared" si="1"/>
        <v>71062</v>
      </c>
      <c r="M26" s="25">
        <f t="shared" si="2"/>
        <v>0</v>
      </c>
      <c r="N26" s="25">
        <f t="shared" si="3"/>
        <v>1294977</v>
      </c>
    </row>
    <row r="27" spans="1:14" ht="15">
      <c r="A27" s="3">
        <f t="shared" si="4"/>
        <v>20</v>
      </c>
      <c r="B27" s="130">
        <v>41530</v>
      </c>
      <c r="C27" s="131">
        <v>0</v>
      </c>
      <c r="D27" s="131">
        <v>0</v>
      </c>
      <c r="E27" s="81">
        <f t="shared" si="7"/>
        <v>0</v>
      </c>
      <c r="F27" s="81">
        <f t="shared" si="7"/>
        <v>0</v>
      </c>
      <c r="G27" s="127">
        <v>39817</v>
      </c>
      <c r="H27" s="127">
        <v>21855</v>
      </c>
      <c r="I27" s="25">
        <f t="shared" si="8"/>
        <v>390437</v>
      </c>
      <c r="J27" s="25">
        <f t="shared" si="8"/>
        <v>966212</v>
      </c>
      <c r="K27" s="25" t="s">
        <v>102</v>
      </c>
      <c r="L27" s="25">
        <f t="shared" si="1"/>
        <v>61672</v>
      </c>
      <c r="M27" s="25">
        <f t="shared" si="2"/>
        <v>0</v>
      </c>
      <c r="N27" s="25">
        <f t="shared" si="3"/>
        <v>1356649</v>
      </c>
    </row>
    <row r="28" spans="1:14" ht="15">
      <c r="A28" s="3">
        <f t="shared" si="4"/>
        <v>21</v>
      </c>
      <c r="B28" s="129">
        <v>41537</v>
      </c>
      <c r="C28" s="131">
        <v>0</v>
      </c>
      <c r="D28" s="131">
        <v>0</v>
      </c>
      <c r="E28" s="81">
        <f t="shared" si="7"/>
        <v>0</v>
      </c>
      <c r="F28" s="81">
        <f t="shared" si="7"/>
        <v>0</v>
      </c>
      <c r="G28" s="133">
        <v>16106</v>
      </c>
      <c r="H28" s="133">
        <v>11166</v>
      </c>
      <c r="I28" s="25">
        <f t="shared" si="8"/>
        <v>406543</v>
      </c>
      <c r="J28" s="25">
        <f t="shared" si="8"/>
        <v>977378</v>
      </c>
      <c r="K28" s="25">
        <f t="shared" si="0"/>
        <v>0</v>
      </c>
      <c r="L28" s="25">
        <f t="shared" si="1"/>
        <v>27272</v>
      </c>
      <c r="M28" s="25">
        <f t="shared" si="2"/>
        <v>0</v>
      </c>
      <c r="N28" s="25">
        <f t="shared" si="3"/>
        <v>1383921</v>
      </c>
    </row>
    <row r="29" spans="1:14" ht="15">
      <c r="A29" s="3">
        <f t="shared" si="4"/>
        <v>22</v>
      </c>
      <c r="B29" s="129">
        <v>41544</v>
      </c>
      <c r="C29" s="131">
        <v>0</v>
      </c>
      <c r="D29" s="131">
        <v>0</v>
      </c>
      <c r="E29" s="81">
        <f t="shared" si="7"/>
        <v>0</v>
      </c>
      <c r="F29" s="81">
        <f t="shared" si="7"/>
        <v>0</v>
      </c>
      <c r="G29" s="133">
        <v>16249</v>
      </c>
      <c r="H29" s="133">
        <v>8551</v>
      </c>
      <c r="I29" s="25">
        <f t="shared" si="8"/>
        <v>422792</v>
      </c>
      <c r="J29" s="25">
        <f t="shared" si="8"/>
        <v>985929</v>
      </c>
      <c r="K29" s="61">
        <f t="shared" si="0"/>
        <v>0</v>
      </c>
      <c r="L29" s="25">
        <f t="shared" si="1"/>
        <v>24800</v>
      </c>
      <c r="M29" s="57">
        <f t="shared" si="2"/>
        <v>0</v>
      </c>
      <c r="N29" s="25">
        <f t="shared" si="3"/>
        <v>1408721</v>
      </c>
    </row>
    <row r="30" spans="1:16" ht="15">
      <c r="A30" s="3">
        <f t="shared" si="4"/>
        <v>23</v>
      </c>
      <c r="B30" s="129">
        <v>41551</v>
      </c>
      <c r="C30" s="131">
        <v>0</v>
      </c>
      <c r="D30" s="132">
        <v>0</v>
      </c>
      <c r="E30" s="81">
        <f t="shared" si="7"/>
        <v>0</v>
      </c>
      <c r="F30" s="81">
        <f t="shared" si="7"/>
        <v>0</v>
      </c>
      <c r="G30" s="133">
        <v>14381</v>
      </c>
      <c r="H30" s="133">
        <v>3812</v>
      </c>
      <c r="I30" s="25">
        <f t="shared" si="8"/>
        <v>437173</v>
      </c>
      <c r="J30" s="25">
        <f t="shared" si="8"/>
        <v>989741</v>
      </c>
      <c r="K30" s="26">
        <f t="shared" si="0"/>
        <v>0</v>
      </c>
      <c r="L30" s="25">
        <f t="shared" si="1"/>
        <v>18193</v>
      </c>
      <c r="M30" s="25">
        <f t="shared" si="2"/>
        <v>0</v>
      </c>
      <c r="N30" s="57">
        <f t="shared" si="3"/>
        <v>1426914</v>
      </c>
      <c r="P30" s="87" t="s">
        <v>89</v>
      </c>
    </row>
    <row r="31" spans="1:14" ht="15">
      <c r="A31" s="3">
        <f t="shared" si="4"/>
        <v>24</v>
      </c>
      <c r="B31" s="129">
        <v>41558</v>
      </c>
      <c r="C31" s="131">
        <v>0</v>
      </c>
      <c r="D31" s="131">
        <v>0</v>
      </c>
      <c r="E31" s="81">
        <f t="shared" si="7"/>
        <v>0</v>
      </c>
      <c r="F31" s="81">
        <f t="shared" si="7"/>
        <v>0</v>
      </c>
      <c r="G31" s="133">
        <v>16544</v>
      </c>
      <c r="H31" s="133">
        <v>4643</v>
      </c>
      <c r="I31" s="25">
        <f t="shared" si="8"/>
        <v>453717</v>
      </c>
      <c r="J31" s="25">
        <f t="shared" si="8"/>
        <v>994384</v>
      </c>
      <c r="K31" s="26">
        <f t="shared" si="0"/>
        <v>0</v>
      </c>
      <c r="L31" s="25">
        <f t="shared" si="1"/>
        <v>21187</v>
      </c>
      <c r="M31" s="25">
        <f t="shared" si="2"/>
        <v>0</v>
      </c>
      <c r="N31" s="57">
        <f t="shared" si="3"/>
        <v>1448101</v>
      </c>
    </row>
    <row r="32" spans="1:14" ht="15">
      <c r="A32" s="3">
        <f t="shared" si="4"/>
        <v>25</v>
      </c>
      <c r="B32" s="129">
        <v>41565</v>
      </c>
      <c r="C32" s="131">
        <v>0</v>
      </c>
      <c r="D32" s="131">
        <v>0</v>
      </c>
      <c r="E32" s="81">
        <f t="shared" si="7"/>
        <v>0</v>
      </c>
      <c r="F32" s="81">
        <f t="shared" si="7"/>
        <v>0</v>
      </c>
      <c r="G32" s="133">
        <v>19561</v>
      </c>
      <c r="H32" s="133">
        <v>7484</v>
      </c>
      <c r="I32" s="25">
        <f t="shared" si="8"/>
        <v>473278</v>
      </c>
      <c r="J32" s="25">
        <f t="shared" si="8"/>
        <v>1001868</v>
      </c>
      <c r="K32" s="26">
        <f t="shared" si="0"/>
        <v>0</v>
      </c>
      <c r="L32" s="25">
        <f t="shared" si="1"/>
        <v>27045</v>
      </c>
      <c r="M32" s="25">
        <f t="shared" si="2"/>
        <v>0</v>
      </c>
      <c r="N32" s="57">
        <f t="shared" si="3"/>
        <v>1475146</v>
      </c>
    </row>
    <row r="33" spans="1:14" ht="15">
      <c r="A33" s="3">
        <f t="shared" si="4"/>
        <v>26</v>
      </c>
      <c r="B33" s="129">
        <v>41572</v>
      </c>
      <c r="C33" s="131">
        <v>0</v>
      </c>
      <c r="D33" s="131">
        <v>0</v>
      </c>
      <c r="E33" s="81">
        <f t="shared" si="7"/>
        <v>0</v>
      </c>
      <c r="F33" s="81">
        <f t="shared" si="7"/>
        <v>0</v>
      </c>
      <c r="G33" s="133">
        <v>16179</v>
      </c>
      <c r="H33" s="133">
        <v>11450</v>
      </c>
      <c r="I33" s="25">
        <f t="shared" si="8"/>
        <v>489457</v>
      </c>
      <c r="J33" s="25">
        <f t="shared" si="8"/>
        <v>1013318</v>
      </c>
      <c r="K33" s="26">
        <f t="shared" si="0"/>
        <v>0</v>
      </c>
      <c r="L33" s="25">
        <f t="shared" si="1"/>
        <v>27629</v>
      </c>
      <c r="M33" s="25">
        <f t="shared" si="2"/>
        <v>0</v>
      </c>
      <c r="N33" s="57">
        <f t="shared" si="3"/>
        <v>1502775</v>
      </c>
    </row>
    <row r="34" spans="1:14" ht="15">
      <c r="A34" s="3">
        <f t="shared" si="4"/>
        <v>27</v>
      </c>
      <c r="B34" s="129">
        <v>41579</v>
      </c>
      <c r="C34" s="131">
        <v>0</v>
      </c>
      <c r="D34" s="131">
        <v>0</v>
      </c>
      <c r="E34" s="81">
        <f t="shared" si="7"/>
        <v>0</v>
      </c>
      <c r="F34" s="81">
        <f t="shared" si="7"/>
        <v>0</v>
      </c>
      <c r="G34" s="133">
        <v>18766</v>
      </c>
      <c r="H34" s="133">
        <v>4262</v>
      </c>
      <c r="I34" s="25">
        <f t="shared" si="8"/>
        <v>508223</v>
      </c>
      <c r="J34" s="25">
        <f t="shared" si="8"/>
        <v>1017580</v>
      </c>
      <c r="K34" s="26">
        <f t="shared" si="0"/>
        <v>0</v>
      </c>
      <c r="L34" s="25">
        <f t="shared" si="1"/>
        <v>23028</v>
      </c>
      <c r="M34" s="25">
        <f t="shared" si="2"/>
        <v>0</v>
      </c>
      <c r="N34" s="57">
        <f t="shared" si="3"/>
        <v>1525803</v>
      </c>
    </row>
    <row r="35" spans="1:14" ht="15">
      <c r="A35" s="3">
        <f t="shared" si="4"/>
        <v>28</v>
      </c>
      <c r="B35" s="129">
        <v>41586</v>
      </c>
      <c r="C35" s="131">
        <v>0</v>
      </c>
      <c r="D35" s="131">
        <v>0</v>
      </c>
      <c r="E35" s="81">
        <f t="shared" si="7"/>
        <v>0</v>
      </c>
      <c r="F35" s="81">
        <f t="shared" si="7"/>
        <v>0</v>
      </c>
      <c r="G35" s="133">
        <v>15944</v>
      </c>
      <c r="H35" s="133">
        <v>5280</v>
      </c>
      <c r="I35" s="25">
        <f t="shared" si="8"/>
        <v>524167</v>
      </c>
      <c r="J35" s="25">
        <f t="shared" si="8"/>
        <v>1022860</v>
      </c>
      <c r="K35" s="26">
        <f t="shared" si="0"/>
        <v>0</v>
      </c>
      <c r="L35" s="25">
        <f t="shared" si="1"/>
        <v>21224</v>
      </c>
      <c r="M35" s="25">
        <f t="shared" si="2"/>
        <v>0</v>
      </c>
      <c r="N35" s="57">
        <f t="shared" si="3"/>
        <v>1547027</v>
      </c>
    </row>
    <row r="36" spans="1:14" ht="15">
      <c r="A36" s="3">
        <f t="shared" si="4"/>
        <v>29</v>
      </c>
      <c r="B36" s="129">
        <v>41593</v>
      </c>
      <c r="C36" s="131">
        <v>0</v>
      </c>
      <c r="D36" s="131">
        <v>0</v>
      </c>
      <c r="E36" s="81">
        <f t="shared" si="7"/>
        <v>0</v>
      </c>
      <c r="F36" s="81">
        <f t="shared" si="7"/>
        <v>0</v>
      </c>
      <c r="G36" s="133">
        <v>15136</v>
      </c>
      <c r="H36" s="133">
        <v>6261</v>
      </c>
      <c r="I36" s="25">
        <f t="shared" si="8"/>
        <v>539303</v>
      </c>
      <c r="J36" s="25">
        <f t="shared" si="8"/>
        <v>1029121</v>
      </c>
      <c r="K36" s="26">
        <f t="shared" si="0"/>
        <v>0</v>
      </c>
      <c r="L36" s="25">
        <f t="shared" si="1"/>
        <v>21397</v>
      </c>
      <c r="M36" s="25">
        <f t="shared" si="2"/>
        <v>0</v>
      </c>
      <c r="N36" s="57">
        <f t="shared" si="3"/>
        <v>1568424</v>
      </c>
    </row>
    <row r="37" spans="1:14" ht="15">
      <c r="A37" s="3">
        <f t="shared" si="4"/>
        <v>30</v>
      </c>
      <c r="B37" s="129">
        <v>41600</v>
      </c>
      <c r="C37" s="131">
        <v>0</v>
      </c>
      <c r="D37" s="131">
        <v>0</v>
      </c>
      <c r="E37" s="81">
        <f t="shared" si="7"/>
        <v>0</v>
      </c>
      <c r="F37" s="81">
        <f t="shared" si="7"/>
        <v>0</v>
      </c>
      <c r="G37" s="133">
        <v>18262</v>
      </c>
      <c r="H37" s="133">
        <v>6350</v>
      </c>
      <c r="I37" s="25">
        <f t="shared" si="8"/>
        <v>557565</v>
      </c>
      <c r="J37" s="25">
        <f t="shared" si="8"/>
        <v>1035471</v>
      </c>
      <c r="K37" s="26">
        <f t="shared" si="0"/>
        <v>0</v>
      </c>
      <c r="L37" s="25">
        <f t="shared" si="1"/>
        <v>24612</v>
      </c>
      <c r="M37" s="25">
        <f t="shared" si="2"/>
        <v>0</v>
      </c>
      <c r="N37" s="57">
        <f t="shared" si="3"/>
        <v>1593036</v>
      </c>
    </row>
    <row r="38" spans="1:14" ht="15">
      <c r="A38" s="3">
        <f t="shared" si="4"/>
        <v>31</v>
      </c>
      <c r="B38" s="129">
        <v>41607</v>
      </c>
      <c r="C38" s="131">
        <v>0</v>
      </c>
      <c r="D38" s="131">
        <v>0</v>
      </c>
      <c r="E38" s="81">
        <f t="shared" si="7"/>
        <v>0</v>
      </c>
      <c r="F38" s="81">
        <f t="shared" si="7"/>
        <v>0</v>
      </c>
      <c r="G38" s="133">
        <v>19997</v>
      </c>
      <c r="H38" s="133">
        <v>4499</v>
      </c>
      <c r="I38" s="25">
        <f t="shared" si="8"/>
        <v>577562</v>
      </c>
      <c r="J38" s="25">
        <f t="shared" si="8"/>
        <v>1039970</v>
      </c>
      <c r="K38" s="26">
        <f t="shared" si="0"/>
        <v>0</v>
      </c>
      <c r="L38" s="25">
        <f t="shared" si="1"/>
        <v>24496</v>
      </c>
      <c r="M38" s="25">
        <f t="shared" si="2"/>
        <v>0</v>
      </c>
      <c r="N38" s="57">
        <f t="shared" si="3"/>
        <v>1617532</v>
      </c>
    </row>
    <row r="39" spans="1:14" ht="15">
      <c r="A39" s="3">
        <f t="shared" si="4"/>
        <v>32</v>
      </c>
      <c r="B39" s="129">
        <v>41614</v>
      </c>
      <c r="C39" s="131">
        <v>0</v>
      </c>
      <c r="D39" s="131">
        <v>0</v>
      </c>
      <c r="E39" s="81">
        <f t="shared" si="7"/>
        <v>0</v>
      </c>
      <c r="F39" s="81">
        <f t="shared" si="7"/>
        <v>0</v>
      </c>
      <c r="G39" s="133">
        <v>18721</v>
      </c>
      <c r="H39" s="133">
        <v>4717</v>
      </c>
      <c r="I39" s="25">
        <f t="shared" si="8"/>
        <v>596283</v>
      </c>
      <c r="J39" s="25">
        <f t="shared" si="8"/>
        <v>1044687</v>
      </c>
      <c r="K39" s="26">
        <f t="shared" si="0"/>
        <v>0</v>
      </c>
      <c r="L39" s="25">
        <f t="shared" si="1"/>
        <v>23438</v>
      </c>
      <c r="M39" s="25">
        <f t="shared" si="2"/>
        <v>0</v>
      </c>
      <c r="N39" s="57">
        <f t="shared" si="3"/>
        <v>1640970</v>
      </c>
    </row>
    <row r="40" spans="1:14" ht="15">
      <c r="A40" s="3">
        <f t="shared" si="4"/>
        <v>33</v>
      </c>
      <c r="B40" s="129">
        <v>41621</v>
      </c>
      <c r="C40" s="131">
        <v>0</v>
      </c>
      <c r="D40" s="131">
        <v>0</v>
      </c>
      <c r="E40" s="81">
        <f t="shared" si="7"/>
        <v>0</v>
      </c>
      <c r="F40" s="81">
        <f t="shared" si="7"/>
        <v>0</v>
      </c>
      <c r="G40" s="134">
        <v>0</v>
      </c>
      <c r="H40" s="134">
        <v>0</v>
      </c>
      <c r="I40" s="25">
        <f t="shared" si="8"/>
        <v>596283</v>
      </c>
      <c r="J40" s="25">
        <f t="shared" si="8"/>
        <v>1044687</v>
      </c>
      <c r="K40" s="26">
        <f t="shared" si="0"/>
        <v>0</v>
      </c>
      <c r="L40" s="25">
        <f t="shared" si="1"/>
        <v>0</v>
      </c>
      <c r="M40" s="25">
        <f t="shared" si="2"/>
        <v>0</v>
      </c>
      <c r="N40" s="57">
        <f t="shared" si="3"/>
        <v>1640970</v>
      </c>
    </row>
    <row r="41" spans="1:14" ht="15">
      <c r="A41" s="3">
        <f t="shared" si="4"/>
        <v>34</v>
      </c>
      <c r="B41" s="129">
        <v>41628</v>
      </c>
      <c r="C41" s="131">
        <v>0</v>
      </c>
      <c r="D41" s="131">
        <v>0</v>
      </c>
      <c r="E41" s="81">
        <f t="shared" si="7"/>
        <v>0</v>
      </c>
      <c r="F41" s="81">
        <f t="shared" si="7"/>
        <v>0</v>
      </c>
      <c r="G41" s="134">
        <v>0</v>
      </c>
      <c r="H41" s="134">
        <v>0</v>
      </c>
      <c r="I41" s="25">
        <f t="shared" si="8"/>
        <v>596283</v>
      </c>
      <c r="J41" s="25">
        <f t="shared" si="8"/>
        <v>1044687</v>
      </c>
      <c r="K41" s="26">
        <f t="shared" si="0"/>
        <v>0</v>
      </c>
      <c r="L41" s="25">
        <f t="shared" si="1"/>
        <v>0</v>
      </c>
      <c r="M41" s="25">
        <f t="shared" si="2"/>
        <v>0</v>
      </c>
      <c r="N41" s="57">
        <f t="shared" si="3"/>
        <v>1640970</v>
      </c>
    </row>
    <row r="42" spans="1:14" ht="15">
      <c r="A42" s="3">
        <f t="shared" si="4"/>
        <v>35</v>
      </c>
      <c r="B42" s="129">
        <v>41635</v>
      </c>
      <c r="C42" s="131">
        <v>0</v>
      </c>
      <c r="D42" s="131">
        <v>0</v>
      </c>
      <c r="E42" s="81">
        <f aca="true" t="shared" si="9" ref="E42:F57">E41+C42</f>
        <v>0</v>
      </c>
      <c r="F42" s="81">
        <f t="shared" si="9"/>
        <v>0</v>
      </c>
      <c r="G42" s="133">
        <v>35550</v>
      </c>
      <c r="H42" s="126">
        <v>9517</v>
      </c>
      <c r="I42" s="25">
        <f aca="true" t="shared" si="10" ref="I42:J57">I41+G42</f>
        <v>631833</v>
      </c>
      <c r="J42" s="25">
        <f t="shared" si="10"/>
        <v>1054204</v>
      </c>
      <c r="K42" s="26">
        <f t="shared" si="0"/>
        <v>0</v>
      </c>
      <c r="L42" s="25">
        <f t="shared" si="1"/>
        <v>45067</v>
      </c>
      <c r="M42" s="25">
        <f t="shared" si="2"/>
        <v>0</v>
      </c>
      <c r="N42" s="57">
        <f t="shared" si="3"/>
        <v>1686037</v>
      </c>
    </row>
    <row r="43" spans="1:14" ht="15">
      <c r="A43" s="3">
        <f t="shared" si="4"/>
        <v>36</v>
      </c>
      <c r="B43" s="129">
        <v>41642</v>
      </c>
      <c r="C43" s="131">
        <v>0</v>
      </c>
      <c r="D43" s="131">
        <v>0</v>
      </c>
      <c r="E43" s="81">
        <f t="shared" si="9"/>
        <v>0</v>
      </c>
      <c r="F43" s="81">
        <f t="shared" si="9"/>
        <v>0</v>
      </c>
      <c r="G43" s="133">
        <v>5023</v>
      </c>
      <c r="H43" s="126">
        <v>2412</v>
      </c>
      <c r="I43" s="25">
        <f t="shared" si="10"/>
        <v>636856</v>
      </c>
      <c r="J43" s="25">
        <f t="shared" si="10"/>
        <v>1056616</v>
      </c>
      <c r="K43" s="26">
        <f t="shared" si="0"/>
        <v>0</v>
      </c>
      <c r="L43" s="25">
        <f t="shared" si="1"/>
        <v>7435</v>
      </c>
      <c r="M43" s="25">
        <f t="shared" si="2"/>
        <v>0</v>
      </c>
      <c r="N43" s="57">
        <f t="shared" si="3"/>
        <v>1693472</v>
      </c>
    </row>
    <row r="44" spans="1:14" ht="15">
      <c r="A44" s="3">
        <f t="shared" si="4"/>
        <v>37</v>
      </c>
      <c r="B44" s="129">
        <v>41649</v>
      </c>
      <c r="C44" s="131">
        <v>0</v>
      </c>
      <c r="D44" s="131">
        <v>0</v>
      </c>
      <c r="E44" s="81">
        <f t="shared" si="9"/>
        <v>0</v>
      </c>
      <c r="F44" s="81">
        <f t="shared" si="9"/>
        <v>0</v>
      </c>
      <c r="G44" s="133">
        <v>17701</v>
      </c>
      <c r="H44" s="126">
        <v>8618</v>
      </c>
      <c r="I44" s="25">
        <f t="shared" si="10"/>
        <v>654557</v>
      </c>
      <c r="J44" s="25">
        <f t="shared" si="10"/>
        <v>1065234</v>
      </c>
      <c r="K44" s="26">
        <f t="shared" si="0"/>
        <v>0</v>
      </c>
      <c r="L44" s="25">
        <f t="shared" si="1"/>
        <v>26319</v>
      </c>
      <c r="M44" s="25">
        <f t="shared" si="2"/>
        <v>0</v>
      </c>
      <c r="N44" s="57">
        <f t="shared" si="3"/>
        <v>1719791</v>
      </c>
    </row>
    <row r="45" spans="1:14" ht="15">
      <c r="A45" s="3">
        <f t="shared" si="4"/>
        <v>38</v>
      </c>
      <c r="B45" s="129">
        <v>41656</v>
      </c>
      <c r="C45" s="131">
        <v>0</v>
      </c>
      <c r="D45" s="131">
        <v>0</v>
      </c>
      <c r="E45" s="81">
        <f t="shared" si="9"/>
        <v>0</v>
      </c>
      <c r="F45" s="81">
        <f>F44+D45</f>
        <v>0</v>
      </c>
      <c r="G45" s="133">
        <v>19716</v>
      </c>
      <c r="H45" s="126">
        <v>5462</v>
      </c>
      <c r="I45" s="25">
        <f t="shared" si="10"/>
        <v>674273</v>
      </c>
      <c r="J45" s="25">
        <f t="shared" si="10"/>
        <v>1070696</v>
      </c>
      <c r="K45" s="26">
        <f t="shared" si="0"/>
        <v>0</v>
      </c>
      <c r="L45" s="25">
        <f t="shared" si="1"/>
        <v>25178</v>
      </c>
      <c r="M45" s="25">
        <f t="shared" si="2"/>
        <v>0</v>
      </c>
      <c r="N45" s="57">
        <f t="shared" si="3"/>
        <v>1744969</v>
      </c>
    </row>
    <row r="46" spans="1:14" ht="15">
      <c r="A46" s="3">
        <f t="shared" si="4"/>
        <v>39</v>
      </c>
      <c r="B46" s="129">
        <v>41663</v>
      </c>
      <c r="C46" s="131">
        <v>0</v>
      </c>
      <c r="D46" s="131">
        <v>0</v>
      </c>
      <c r="E46" s="81">
        <f t="shared" si="9"/>
        <v>0</v>
      </c>
      <c r="F46" s="81">
        <f>F45+D46</f>
        <v>0</v>
      </c>
      <c r="G46" s="133">
        <v>19099</v>
      </c>
      <c r="H46" s="126">
        <v>5620</v>
      </c>
      <c r="I46" s="25">
        <f t="shared" si="10"/>
        <v>693372</v>
      </c>
      <c r="J46" s="25">
        <f t="shared" si="10"/>
        <v>1076316</v>
      </c>
      <c r="K46" s="26">
        <f t="shared" si="0"/>
        <v>0</v>
      </c>
      <c r="L46" s="25">
        <f t="shared" si="1"/>
        <v>24719</v>
      </c>
      <c r="M46" s="25">
        <f t="shared" si="2"/>
        <v>0</v>
      </c>
      <c r="N46" s="57">
        <f t="shared" si="3"/>
        <v>1769688</v>
      </c>
    </row>
    <row r="47" spans="1:14" ht="15">
      <c r="A47" s="3">
        <f t="shared" si="4"/>
        <v>40</v>
      </c>
      <c r="B47" s="138">
        <v>41670</v>
      </c>
      <c r="C47" s="131">
        <v>0</v>
      </c>
      <c r="D47" s="131">
        <v>0</v>
      </c>
      <c r="E47" s="81">
        <f t="shared" si="9"/>
        <v>0</v>
      </c>
      <c r="F47" s="81">
        <f t="shared" si="9"/>
        <v>0</v>
      </c>
      <c r="G47" s="133">
        <v>14214</v>
      </c>
      <c r="H47" s="126">
        <v>4750</v>
      </c>
      <c r="I47" s="25">
        <f t="shared" si="10"/>
        <v>707586</v>
      </c>
      <c r="J47" s="25">
        <f t="shared" si="10"/>
        <v>1081066</v>
      </c>
      <c r="K47" s="26">
        <f t="shared" si="0"/>
        <v>0</v>
      </c>
      <c r="L47" s="25">
        <f t="shared" si="1"/>
        <v>18964</v>
      </c>
      <c r="M47" s="25">
        <f t="shared" si="2"/>
        <v>0</v>
      </c>
      <c r="N47" s="57">
        <f t="shared" si="3"/>
        <v>1788652</v>
      </c>
    </row>
    <row r="48" spans="1:14" ht="15">
      <c r="A48" s="3">
        <f t="shared" si="4"/>
        <v>41</v>
      </c>
      <c r="B48" s="138">
        <v>41677</v>
      </c>
      <c r="C48" s="131">
        <v>0</v>
      </c>
      <c r="D48" s="131">
        <v>0</v>
      </c>
      <c r="E48" s="81">
        <f t="shared" si="9"/>
        <v>0</v>
      </c>
      <c r="F48" s="81">
        <f t="shared" si="9"/>
        <v>0</v>
      </c>
      <c r="G48" s="133">
        <v>21031</v>
      </c>
      <c r="H48" s="126">
        <v>6704</v>
      </c>
      <c r="I48" s="25">
        <f t="shared" si="10"/>
        <v>728617</v>
      </c>
      <c r="J48" s="25">
        <f t="shared" si="10"/>
        <v>1087770</v>
      </c>
      <c r="K48" s="26">
        <f t="shared" si="0"/>
        <v>0</v>
      </c>
      <c r="L48" s="25">
        <f t="shared" si="1"/>
        <v>27735</v>
      </c>
      <c r="M48" s="25">
        <f t="shared" si="2"/>
        <v>0</v>
      </c>
      <c r="N48" s="57">
        <f t="shared" si="3"/>
        <v>1816387</v>
      </c>
    </row>
    <row r="49" spans="1:14" ht="15">
      <c r="A49" s="3">
        <f t="shared" si="4"/>
        <v>42</v>
      </c>
      <c r="B49" s="138">
        <v>41684</v>
      </c>
      <c r="C49" s="131">
        <v>0</v>
      </c>
      <c r="D49" s="131">
        <v>0</v>
      </c>
      <c r="E49" s="81">
        <f t="shared" si="9"/>
        <v>0</v>
      </c>
      <c r="F49" s="81">
        <f t="shared" si="9"/>
        <v>0</v>
      </c>
      <c r="G49" s="133">
        <v>16598</v>
      </c>
      <c r="H49" s="126">
        <v>5567</v>
      </c>
      <c r="I49" s="25">
        <f t="shared" si="10"/>
        <v>745215</v>
      </c>
      <c r="J49" s="25">
        <f t="shared" si="10"/>
        <v>1093337</v>
      </c>
      <c r="K49" s="26">
        <f t="shared" si="0"/>
        <v>0</v>
      </c>
      <c r="L49" s="25">
        <f t="shared" si="1"/>
        <v>22165</v>
      </c>
      <c r="M49" s="25">
        <f t="shared" si="2"/>
        <v>0</v>
      </c>
      <c r="N49" s="57">
        <f t="shared" si="3"/>
        <v>1838552</v>
      </c>
    </row>
    <row r="50" spans="1:14" ht="15">
      <c r="A50" s="3">
        <f t="shared" si="4"/>
        <v>43</v>
      </c>
      <c r="B50" s="138">
        <v>41691</v>
      </c>
      <c r="C50" s="131">
        <v>0</v>
      </c>
      <c r="D50" s="131">
        <v>0</v>
      </c>
      <c r="E50" s="81">
        <f t="shared" si="9"/>
        <v>0</v>
      </c>
      <c r="F50" s="81">
        <f>F49+D50</f>
        <v>0</v>
      </c>
      <c r="G50" s="133">
        <v>18346</v>
      </c>
      <c r="H50" s="126">
        <v>2039</v>
      </c>
      <c r="I50" s="25">
        <f t="shared" si="10"/>
        <v>763561</v>
      </c>
      <c r="J50" s="25">
        <f t="shared" si="10"/>
        <v>1095376</v>
      </c>
      <c r="K50" s="26">
        <f>C50+D50</f>
        <v>0</v>
      </c>
      <c r="L50" s="25">
        <f t="shared" si="1"/>
        <v>20385</v>
      </c>
      <c r="M50" s="25">
        <f t="shared" si="2"/>
        <v>0</v>
      </c>
      <c r="N50" s="57">
        <f t="shared" si="3"/>
        <v>1858937</v>
      </c>
    </row>
    <row r="51" spans="1:14" ht="15">
      <c r="A51" s="3">
        <f t="shared" si="4"/>
        <v>44</v>
      </c>
      <c r="B51" s="138">
        <v>41698</v>
      </c>
      <c r="C51" s="131">
        <v>0</v>
      </c>
      <c r="D51" s="131">
        <v>0</v>
      </c>
      <c r="E51" s="81">
        <f t="shared" si="9"/>
        <v>0</v>
      </c>
      <c r="F51" s="81">
        <f>F50+D51</f>
        <v>0</v>
      </c>
      <c r="G51" s="133">
        <v>14756</v>
      </c>
      <c r="H51" s="126">
        <v>4378</v>
      </c>
      <c r="I51" s="25">
        <f t="shared" si="10"/>
        <v>778317</v>
      </c>
      <c r="J51" s="25">
        <f t="shared" si="10"/>
        <v>1099754</v>
      </c>
      <c r="K51" s="26">
        <f>C51+D51</f>
        <v>0</v>
      </c>
      <c r="L51" s="25">
        <f t="shared" si="1"/>
        <v>19134</v>
      </c>
      <c r="M51" s="25">
        <f t="shared" si="2"/>
        <v>0</v>
      </c>
      <c r="N51" s="57">
        <f t="shared" si="3"/>
        <v>1878071</v>
      </c>
    </row>
    <row r="52" spans="1:14" ht="15">
      <c r="A52" s="3">
        <f t="shared" si="4"/>
        <v>45</v>
      </c>
      <c r="B52" s="138">
        <v>41705</v>
      </c>
      <c r="C52" s="131">
        <v>0</v>
      </c>
      <c r="D52" s="131">
        <v>0</v>
      </c>
      <c r="E52" s="81">
        <f t="shared" si="9"/>
        <v>0</v>
      </c>
      <c r="F52" s="81">
        <f t="shared" si="9"/>
        <v>0</v>
      </c>
      <c r="G52" s="133">
        <v>15719</v>
      </c>
      <c r="H52" s="126">
        <v>4421</v>
      </c>
      <c r="I52" s="25">
        <f t="shared" si="10"/>
        <v>794036</v>
      </c>
      <c r="J52" s="25">
        <f t="shared" si="10"/>
        <v>1104175</v>
      </c>
      <c r="K52" s="26">
        <f t="shared" si="0"/>
        <v>0</v>
      </c>
      <c r="L52" s="25">
        <f t="shared" si="1"/>
        <v>20140</v>
      </c>
      <c r="M52" s="25">
        <f t="shared" si="2"/>
        <v>0</v>
      </c>
      <c r="N52" s="57">
        <f t="shared" si="3"/>
        <v>1898211</v>
      </c>
    </row>
    <row r="53" spans="1:14" ht="15">
      <c r="A53" s="3">
        <f t="shared" si="4"/>
        <v>46</v>
      </c>
      <c r="B53" s="138">
        <v>41712</v>
      </c>
      <c r="C53" s="131">
        <v>0</v>
      </c>
      <c r="D53" s="131">
        <v>0</v>
      </c>
      <c r="E53" s="81">
        <f t="shared" si="9"/>
        <v>0</v>
      </c>
      <c r="F53" s="81">
        <f t="shared" si="9"/>
        <v>0</v>
      </c>
      <c r="G53" s="133">
        <v>23109</v>
      </c>
      <c r="H53" s="126">
        <v>2997</v>
      </c>
      <c r="I53" s="25">
        <f t="shared" si="10"/>
        <v>817145</v>
      </c>
      <c r="J53" s="25">
        <f t="shared" si="10"/>
        <v>1107172</v>
      </c>
      <c r="K53" s="26">
        <f t="shared" si="0"/>
        <v>0</v>
      </c>
      <c r="L53" s="25">
        <f t="shared" si="1"/>
        <v>26106</v>
      </c>
      <c r="M53" s="25">
        <f t="shared" si="2"/>
        <v>0</v>
      </c>
      <c r="N53" s="57">
        <f t="shared" si="3"/>
        <v>1924317</v>
      </c>
    </row>
    <row r="54" spans="1:14" ht="15">
      <c r="A54" s="3">
        <f t="shared" si="4"/>
        <v>47</v>
      </c>
      <c r="B54" s="138">
        <v>41719</v>
      </c>
      <c r="C54" s="131">
        <v>0</v>
      </c>
      <c r="D54" s="131">
        <v>13842</v>
      </c>
      <c r="E54" s="81">
        <f t="shared" si="9"/>
        <v>0</v>
      </c>
      <c r="F54" s="81">
        <f t="shared" si="9"/>
        <v>13842</v>
      </c>
      <c r="G54" s="133">
        <v>17567</v>
      </c>
      <c r="H54" s="126">
        <v>2840</v>
      </c>
      <c r="I54" s="25">
        <f t="shared" si="10"/>
        <v>834712</v>
      </c>
      <c r="J54" s="25">
        <f t="shared" si="10"/>
        <v>1110012</v>
      </c>
      <c r="K54" s="26">
        <f t="shared" si="0"/>
        <v>13842</v>
      </c>
      <c r="L54" s="25">
        <f t="shared" si="1"/>
        <v>20407</v>
      </c>
      <c r="M54" s="25">
        <f t="shared" si="2"/>
        <v>13842</v>
      </c>
      <c r="N54" s="57">
        <f t="shared" si="3"/>
        <v>1944724</v>
      </c>
    </row>
    <row r="55" spans="1:14" ht="15">
      <c r="A55" s="3">
        <f t="shared" si="4"/>
        <v>48</v>
      </c>
      <c r="B55" s="138">
        <v>41726</v>
      </c>
      <c r="C55" s="131">
        <v>0</v>
      </c>
      <c r="D55" s="131">
        <v>26498</v>
      </c>
      <c r="E55" s="81">
        <f t="shared" si="9"/>
        <v>0</v>
      </c>
      <c r="F55" s="81">
        <f t="shared" si="9"/>
        <v>40340</v>
      </c>
      <c r="G55" s="133">
        <v>15819</v>
      </c>
      <c r="H55" s="126">
        <v>3373</v>
      </c>
      <c r="I55" s="25">
        <f t="shared" si="10"/>
        <v>850531</v>
      </c>
      <c r="J55" s="25">
        <f t="shared" si="10"/>
        <v>1113385</v>
      </c>
      <c r="K55" s="26">
        <f t="shared" si="0"/>
        <v>26498</v>
      </c>
      <c r="L55" s="25">
        <f t="shared" si="1"/>
        <v>19192</v>
      </c>
      <c r="M55" s="25">
        <f t="shared" si="2"/>
        <v>40340</v>
      </c>
      <c r="N55" s="57">
        <f t="shared" si="3"/>
        <v>1963916</v>
      </c>
    </row>
    <row r="56" spans="1:14" ht="15">
      <c r="A56" s="3">
        <f t="shared" si="4"/>
        <v>49</v>
      </c>
      <c r="B56" s="138">
        <v>41733</v>
      </c>
      <c r="C56" s="131">
        <v>0</v>
      </c>
      <c r="D56" s="131">
        <v>1042</v>
      </c>
      <c r="E56" s="81">
        <f t="shared" si="9"/>
        <v>0</v>
      </c>
      <c r="F56" s="81">
        <f t="shared" si="9"/>
        <v>41382</v>
      </c>
      <c r="G56" s="133">
        <v>15173</v>
      </c>
      <c r="H56" s="126">
        <v>2367</v>
      </c>
      <c r="I56" s="25">
        <f t="shared" si="10"/>
        <v>865704</v>
      </c>
      <c r="J56" s="25">
        <f t="shared" si="10"/>
        <v>1115752</v>
      </c>
      <c r="K56" s="26">
        <f t="shared" si="0"/>
        <v>1042</v>
      </c>
      <c r="L56" s="25">
        <f t="shared" si="1"/>
        <v>17540</v>
      </c>
      <c r="M56" s="25">
        <f t="shared" si="2"/>
        <v>41382</v>
      </c>
      <c r="N56" s="57">
        <f t="shared" si="3"/>
        <v>1981456</v>
      </c>
    </row>
    <row r="57" spans="1:14" ht="15">
      <c r="A57" s="3">
        <f t="shared" si="4"/>
        <v>50</v>
      </c>
      <c r="B57" s="138">
        <v>41740</v>
      </c>
      <c r="C57" s="131">
        <v>0</v>
      </c>
      <c r="D57" s="131">
        <v>29201</v>
      </c>
      <c r="E57" s="81">
        <f t="shared" si="9"/>
        <v>0</v>
      </c>
      <c r="F57" s="81">
        <f t="shared" si="9"/>
        <v>70583</v>
      </c>
      <c r="G57" s="133">
        <v>15251</v>
      </c>
      <c r="H57" s="126">
        <v>2402</v>
      </c>
      <c r="I57" s="25">
        <f t="shared" si="10"/>
        <v>880955</v>
      </c>
      <c r="J57" s="25">
        <f t="shared" si="10"/>
        <v>1118154</v>
      </c>
      <c r="K57" s="26">
        <f t="shared" si="0"/>
        <v>29201</v>
      </c>
      <c r="L57" s="25">
        <f t="shared" si="1"/>
        <v>17653</v>
      </c>
      <c r="M57" s="25">
        <f t="shared" si="2"/>
        <v>70583</v>
      </c>
      <c r="N57" s="57">
        <f t="shared" si="3"/>
        <v>1999109</v>
      </c>
    </row>
    <row r="58" spans="1:14" ht="15">
      <c r="A58" s="3">
        <f t="shared" si="4"/>
        <v>51</v>
      </c>
      <c r="B58" s="138">
        <v>41747</v>
      </c>
      <c r="C58" s="131">
        <v>0</v>
      </c>
      <c r="D58" s="131">
        <v>9090</v>
      </c>
      <c r="E58" s="81">
        <f>E57+C58</f>
        <v>0</v>
      </c>
      <c r="F58" s="81">
        <f>F57+D58</f>
        <v>79673</v>
      </c>
      <c r="G58" s="133">
        <v>11394</v>
      </c>
      <c r="H58" s="126">
        <v>2483</v>
      </c>
      <c r="I58" s="25">
        <f>I57+G58</f>
        <v>892349</v>
      </c>
      <c r="J58" s="25">
        <f>J57+H58</f>
        <v>1120637</v>
      </c>
      <c r="K58" s="26">
        <f t="shared" si="0"/>
        <v>9090</v>
      </c>
      <c r="L58" s="25">
        <f t="shared" si="1"/>
        <v>13877</v>
      </c>
      <c r="M58" s="25">
        <f t="shared" si="2"/>
        <v>79673</v>
      </c>
      <c r="N58" s="57">
        <f t="shared" si="3"/>
        <v>2012986</v>
      </c>
    </row>
    <row r="59" spans="1:14" ht="15.75" thickBot="1">
      <c r="A59" s="3">
        <f t="shared" si="4"/>
        <v>52</v>
      </c>
      <c r="B59" s="138">
        <v>41754</v>
      </c>
      <c r="C59" s="131">
        <v>0</v>
      </c>
      <c r="D59" s="131">
        <v>0</v>
      </c>
      <c r="E59" s="79">
        <f>E58+C59</f>
        <v>0</v>
      </c>
      <c r="F59" s="79">
        <f>F58+D59</f>
        <v>79673</v>
      </c>
      <c r="G59" s="126">
        <v>8878</v>
      </c>
      <c r="H59" s="126">
        <v>2845</v>
      </c>
      <c r="I59" s="60">
        <f>I58+G59</f>
        <v>901227</v>
      </c>
      <c r="J59" s="60">
        <f>J58+H59</f>
        <v>1123482</v>
      </c>
      <c r="K59" s="58">
        <f t="shared" si="0"/>
        <v>0</v>
      </c>
      <c r="L59" s="60">
        <f t="shared" si="1"/>
        <v>11723</v>
      </c>
      <c r="M59" s="60">
        <f t="shared" si="2"/>
        <v>79673</v>
      </c>
      <c r="N59" s="59">
        <f t="shared" si="3"/>
        <v>2024709</v>
      </c>
    </row>
    <row r="60" spans="2:14" ht="12.75">
      <c r="B60" s="53"/>
      <c r="E60" s="82"/>
      <c r="F60" s="82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7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tabSelected="1" zoomScale="96" zoomScaleNormal="9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59" sqref="H59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71" customWidth="1"/>
    <col min="4" max="4" width="11.7109375" style="71" customWidth="1"/>
    <col min="5" max="5" width="11.57421875" style="71" customWidth="1"/>
    <col min="6" max="6" width="11.28125" style="71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103" t="s">
        <v>119</v>
      </c>
      <c r="D1" s="67"/>
      <c r="E1" s="67"/>
    </row>
    <row r="2" spans="3:15" s="3" customFormat="1" ht="15">
      <c r="C2" s="103" t="s">
        <v>120</v>
      </c>
      <c r="D2" s="67"/>
      <c r="E2" s="67"/>
      <c r="O2" s="86" t="s">
        <v>88</v>
      </c>
    </row>
    <row r="3" spans="3:6" s="3" customFormat="1" ht="13.5" thickBot="1">
      <c r="C3" s="67"/>
      <c r="D3" s="67"/>
      <c r="E3" s="67"/>
      <c r="F3" s="67"/>
    </row>
    <row r="4" spans="2:14" s="1" customFormat="1" ht="13.5" thickBot="1">
      <c r="B4" s="4"/>
      <c r="C4" s="68" t="s">
        <v>27</v>
      </c>
      <c r="D4" s="69" t="s">
        <v>28</v>
      </c>
      <c r="E4" s="115" t="s">
        <v>27</v>
      </c>
      <c r="F4" s="76" t="s">
        <v>28</v>
      </c>
      <c r="G4" s="6" t="s">
        <v>29</v>
      </c>
      <c r="H4" s="5" t="s">
        <v>30</v>
      </c>
      <c r="I4" s="8" t="s">
        <v>29</v>
      </c>
      <c r="J4" s="7" t="s">
        <v>30</v>
      </c>
      <c r="K4" s="8" t="s">
        <v>31</v>
      </c>
      <c r="L4" s="9" t="s">
        <v>32</v>
      </c>
      <c r="M4" s="8" t="s">
        <v>31</v>
      </c>
      <c r="N4" s="9" t="s">
        <v>32</v>
      </c>
    </row>
    <row r="5" spans="2:17" s="3" customFormat="1" ht="13.5" thickBot="1">
      <c r="B5" s="10" t="s">
        <v>33</v>
      </c>
      <c r="C5" s="119" t="s">
        <v>34</v>
      </c>
      <c r="D5" s="120" t="s">
        <v>35</v>
      </c>
      <c r="E5" s="113" t="s">
        <v>34</v>
      </c>
      <c r="F5" s="77" t="s">
        <v>35</v>
      </c>
      <c r="G5" s="123" t="s">
        <v>34</v>
      </c>
      <c r="H5" s="11" t="s">
        <v>35</v>
      </c>
      <c r="I5" s="117" t="s">
        <v>34</v>
      </c>
      <c r="J5" s="12" t="s">
        <v>35</v>
      </c>
      <c r="K5" s="13" t="s">
        <v>36</v>
      </c>
      <c r="L5" s="14" t="s">
        <v>37</v>
      </c>
      <c r="M5" s="13" t="s">
        <v>36</v>
      </c>
      <c r="N5" s="14" t="s">
        <v>37</v>
      </c>
      <c r="P5" s="15"/>
      <c r="Q5" s="15"/>
    </row>
    <row r="6" spans="2:14" s="3" customFormat="1" ht="13.5" thickBot="1">
      <c r="B6" s="10" t="s">
        <v>38</v>
      </c>
      <c r="C6" s="121"/>
      <c r="D6" s="118"/>
      <c r="E6" s="116" t="s">
        <v>39</v>
      </c>
      <c r="F6" s="78" t="s">
        <v>40</v>
      </c>
      <c r="G6" s="122"/>
      <c r="H6" s="16"/>
      <c r="I6" s="117" t="s">
        <v>39</v>
      </c>
      <c r="J6" s="17" t="s">
        <v>40</v>
      </c>
      <c r="K6" s="18" t="s">
        <v>41</v>
      </c>
      <c r="L6" s="19" t="s">
        <v>41</v>
      </c>
      <c r="M6" s="13" t="s">
        <v>39</v>
      </c>
      <c r="N6" s="14" t="s">
        <v>40</v>
      </c>
    </row>
    <row r="7" spans="2:14" s="3" customFormat="1" ht="13.5" thickBot="1">
      <c r="B7" s="20"/>
      <c r="C7" s="114" t="s">
        <v>42</v>
      </c>
      <c r="D7" s="70" t="s">
        <v>42</v>
      </c>
      <c r="E7" s="113" t="s">
        <v>42</v>
      </c>
      <c r="F7" s="100" t="s">
        <v>42</v>
      </c>
      <c r="G7" s="101" t="s">
        <v>42</v>
      </c>
      <c r="H7" s="102" t="s">
        <v>42</v>
      </c>
      <c r="I7" s="13" t="s">
        <v>42</v>
      </c>
      <c r="J7" s="21" t="s">
        <v>42</v>
      </c>
      <c r="K7" s="23" t="s">
        <v>42</v>
      </c>
      <c r="L7" s="23" t="s">
        <v>42</v>
      </c>
      <c r="M7" s="23" t="s">
        <v>42</v>
      </c>
      <c r="N7" s="22" t="s">
        <v>42</v>
      </c>
    </row>
    <row r="8" spans="1:14" s="3" customFormat="1" ht="15">
      <c r="A8" s="3">
        <v>1</v>
      </c>
      <c r="B8" s="130" t="s">
        <v>123</v>
      </c>
      <c r="C8" s="131">
        <v>0</v>
      </c>
      <c r="D8" s="131">
        <v>0</v>
      </c>
      <c r="E8" s="80">
        <f>+C8</f>
        <v>0</v>
      </c>
      <c r="F8" s="80">
        <f>+D8</f>
        <v>0</v>
      </c>
      <c r="G8" s="127">
        <v>2770</v>
      </c>
      <c r="H8" s="127">
        <v>1698</v>
      </c>
      <c r="I8" s="24">
        <f>+G8</f>
        <v>2770</v>
      </c>
      <c r="J8" s="24">
        <f>+H8</f>
        <v>1698</v>
      </c>
      <c r="K8" s="24">
        <f aca="true" t="shared" si="0" ref="K8:K39">C8+D8</f>
        <v>0</v>
      </c>
      <c r="L8" s="24">
        <f aca="true" t="shared" si="1" ref="L8:L39">G8+H8</f>
        <v>4468</v>
      </c>
      <c r="M8" s="24">
        <f aca="true" t="shared" si="2" ref="M8:M39">E8+F8</f>
        <v>0</v>
      </c>
      <c r="N8" s="24">
        <f aca="true" t="shared" si="3" ref="N8:N39">I8+J8</f>
        <v>4468</v>
      </c>
    </row>
    <row r="9" spans="1:14" s="3" customFormat="1" ht="15">
      <c r="A9" s="3">
        <f>A8+1</f>
        <v>2</v>
      </c>
      <c r="B9" s="130" t="s">
        <v>130</v>
      </c>
      <c r="C9" s="131">
        <v>0</v>
      </c>
      <c r="D9" s="131">
        <v>0</v>
      </c>
      <c r="E9" s="81">
        <f>E8+C9</f>
        <v>0</v>
      </c>
      <c r="F9" s="81">
        <f>F8+D9</f>
        <v>0</v>
      </c>
      <c r="G9" s="127">
        <v>5322</v>
      </c>
      <c r="H9" s="127">
        <v>2385</v>
      </c>
      <c r="I9" s="25">
        <f>I8+G9</f>
        <v>8092</v>
      </c>
      <c r="J9" s="25">
        <f>J8+H9</f>
        <v>4083</v>
      </c>
      <c r="K9" s="25">
        <f t="shared" si="0"/>
        <v>0</v>
      </c>
      <c r="L9" s="25">
        <f t="shared" si="1"/>
        <v>7707</v>
      </c>
      <c r="M9" s="25">
        <f t="shared" si="2"/>
        <v>0</v>
      </c>
      <c r="N9" s="25">
        <f t="shared" si="3"/>
        <v>12175</v>
      </c>
    </row>
    <row r="10" spans="1:14" ht="15">
      <c r="A10" s="3">
        <f aca="true" t="shared" si="4" ref="A10:A40">A9+1</f>
        <v>3</v>
      </c>
      <c r="B10" s="130" t="s">
        <v>131</v>
      </c>
      <c r="C10" s="131">
        <v>0</v>
      </c>
      <c r="D10" s="131">
        <v>0</v>
      </c>
      <c r="E10" s="81">
        <f aca="true" t="shared" si="5" ref="E10:E59">E9+C10</f>
        <v>0</v>
      </c>
      <c r="F10" s="81">
        <f aca="true" t="shared" si="6" ref="F10:F44">F9+D10</f>
        <v>0</v>
      </c>
      <c r="G10" s="127">
        <v>5050</v>
      </c>
      <c r="H10" s="127">
        <v>4216</v>
      </c>
      <c r="I10" s="25">
        <f aca="true" t="shared" si="7" ref="I10:I59">I9+G10</f>
        <v>13142</v>
      </c>
      <c r="J10" s="25">
        <f aca="true" t="shared" si="8" ref="J10:J59">J9+H10</f>
        <v>8299</v>
      </c>
      <c r="K10" s="25">
        <f t="shared" si="0"/>
        <v>0</v>
      </c>
      <c r="L10" s="25">
        <f t="shared" si="1"/>
        <v>9266</v>
      </c>
      <c r="M10" s="25">
        <f t="shared" si="2"/>
        <v>0</v>
      </c>
      <c r="N10" s="25">
        <f t="shared" si="3"/>
        <v>21441</v>
      </c>
    </row>
    <row r="11" spans="1:14" ht="15">
      <c r="A11" s="3">
        <f t="shared" si="4"/>
        <v>4</v>
      </c>
      <c r="B11" s="130">
        <v>41782</v>
      </c>
      <c r="C11" s="131">
        <v>0</v>
      </c>
      <c r="D11" s="131">
        <v>0</v>
      </c>
      <c r="E11" s="81">
        <f t="shared" si="5"/>
        <v>0</v>
      </c>
      <c r="F11" s="81">
        <f t="shared" si="6"/>
        <v>0</v>
      </c>
      <c r="G11" s="127">
        <v>6521</v>
      </c>
      <c r="H11" s="127">
        <v>4256</v>
      </c>
      <c r="I11" s="25">
        <f t="shared" si="7"/>
        <v>19663</v>
      </c>
      <c r="J11" s="25">
        <f t="shared" si="8"/>
        <v>12555</v>
      </c>
      <c r="K11" s="25">
        <f t="shared" si="0"/>
        <v>0</v>
      </c>
      <c r="L11" s="25">
        <f t="shared" si="1"/>
        <v>10777</v>
      </c>
      <c r="M11" s="25">
        <f t="shared" si="2"/>
        <v>0</v>
      </c>
      <c r="N11" s="25">
        <f t="shared" si="3"/>
        <v>32218</v>
      </c>
    </row>
    <row r="12" spans="1:14" ht="15">
      <c r="A12" s="3">
        <f t="shared" si="4"/>
        <v>5</v>
      </c>
      <c r="B12" s="130">
        <v>41789</v>
      </c>
      <c r="C12" s="131">
        <v>0</v>
      </c>
      <c r="D12" s="131">
        <v>0</v>
      </c>
      <c r="E12" s="81">
        <v>0</v>
      </c>
      <c r="F12" s="81">
        <f t="shared" si="6"/>
        <v>0</v>
      </c>
      <c r="G12" s="127">
        <v>15200</v>
      </c>
      <c r="H12" s="127">
        <v>5574</v>
      </c>
      <c r="I12" s="25">
        <f t="shared" si="7"/>
        <v>34863</v>
      </c>
      <c r="J12" s="25">
        <f t="shared" si="8"/>
        <v>18129</v>
      </c>
      <c r="K12" s="25">
        <f t="shared" si="0"/>
        <v>0</v>
      </c>
      <c r="L12" s="25">
        <f t="shared" si="1"/>
        <v>20774</v>
      </c>
      <c r="M12" s="25">
        <f t="shared" si="2"/>
        <v>0</v>
      </c>
      <c r="N12" s="25">
        <f t="shared" si="3"/>
        <v>52992</v>
      </c>
    </row>
    <row r="13" spans="1:14" ht="15">
      <c r="A13" s="3">
        <f t="shared" si="4"/>
        <v>6</v>
      </c>
      <c r="B13" s="130">
        <v>41796</v>
      </c>
      <c r="C13" s="131">
        <v>0</v>
      </c>
      <c r="D13" s="131">
        <v>0</v>
      </c>
      <c r="E13" s="81">
        <f t="shared" si="5"/>
        <v>0</v>
      </c>
      <c r="F13" s="81">
        <f t="shared" si="6"/>
        <v>0</v>
      </c>
      <c r="G13" s="127">
        <v>15797</v>
      </c>
      <c r="H13" s="127">
        <v>33854</v>
      </c>
      <c r="I13" s="25">
        <f t="shared" si="7"/>
        <v>50660</v>
      </c>
      <c r="J13" s="25">
        <f t="shared" si="8"/>
        <v>51983</v>
      </c>
      <c r="K13" s="25">
        <f t="shared" si="0"/>
        <v>0</v>
      </c>
      <c r="L13" s="25">
        <f t="shared" si="1"/>
        <v>49651</v>
      </c>
      <c r="M13" s="25">
        <f t="shared" si="2"/>
        <v>0</v>
      </c>
      <c r="N13" s="25">
        <f t="shared" si="3"/>
        <v>102643</v>
      </c>
    </row>
    <row r="14" spans="1:14" ht="15">
      <c r="A14" s="3">
        <f t="shared" si="4"/>
        <v>7</v>
      </c>
      <c r="B14" s="130">
        <v>41803</v>
      </c>
      <c r="C14" s="131">
        <v>0</v>
      </c>
      <c r="D14" s="131">
        <v>0</v>
      </c>
      <c r="E14" s="81">
        <f t="shared" si="5"/>
        <v>0</v>
      </c>
      <c r="F14" s="81">
        <f t="shared" si="6"/>
        <v>0</v>
      </c>
      <c r="G14" s="127">
        <v>12089</v>
      </c>
      <c r="H14" s="127">
        <v>21455</v>
      </c>
      <c r="I14" s="25">
        <f t="shared" si="7"/>
        <v>62749</v>
      </c>
      <c r="J14" s="25">
        <f t="shared" si="8"/>
        <v>73438</v>
      </c>
      <c r="K14" s="25">
        <f t="shared" si="0"/>
        <v>0</v>
      </c>
      <c r="L14" s="25">
        <f t="shared" si="1"/>
        <v>33544</v>
      </c>
      <c r="M14" s="25">
        <f t="shared" si="2"/>
        <v>0</v>
      </c>
      <c r="N14" s="25">
        <f t="shared" si="3"/>
        <v>136187</v>
      </c>
    </row>
    <row r="15" spans="1:14" ht="15">
      <c r="A15" s="3">
        <f t="shared" si="4"/>
        <v>8</v>
      </c>
      <c r="B15" s="130">
        <v>41810</v>
      </c>
      <c r="C15" s="131">
        <v>0</v>
      </c>
      <c r="D15" s="131">
        <v>0</v>
      </c>
      <c r="E15" s="81">
        <f t="shared" si="5"/>
        <v>0</v>
      </c>
      <c r="F15" s="81">
        <f t="shared" si="6"/>
        <v>0</v>
      </c>
      <c r="G15" s="127">
        <v>10972</v>
      </c>
      <c r="H15" s="127">
        <v>56288</v>
      </c>
      <c r="I15" s="25">
        <f t="shared" si="7"/>
        <v>73721</v>
      </c>
      <c r="J15" s="25">
        <f t="shared" si="8"/>
        <v>129726</v>
      </c>
      <c r="K15" s="25">
        <f t="shared" si="0"/>
        <v>0</v>
      </c>
      <c r="L15" s="25">
        <f t="shared" si="1"/>
        <v>67260</v>
      </c>
      <c r="M15" s="25">
        <f t="shared" si="2"/>
        <v>0</v>
      </c>
      <c r="N15" s="25">
        <f t="shared" si="3"/>
        <v>203447</v>
      </c>
    </row>
    <row r="16" spans="1:14" ht="15">
      <c r="A16" s="3">
        <f t="shared" si="4"/>
        <v>9</v>
      </c>
      <c r="B16" s="130">
        <v>41817</v>
      </c>
      <c r="C16" s="131">
        <v>0</v>
      </c>
      <c r="D16" s="131">
        <v>0</v>
      </c>
      <c r="E16" s="81">
        <f t="shared" si="5"/>
        <v>0</v>
      </c>
      <c r="F16" s="81">
        <f t="shared" si="6"/>
        <v>0</v>
      </c>
      <c r="G16" s="127">
        <v>16064</v>
      </c>
      <c r="H16" s="127">
        <v>93656</v>
      </c>
      <c r="I16" s="25">
        <f t="shared" si="7"/>
        <v>89785</v>
      </c>
      <c r="J16" s="25">
        <f t="shared" si="8"/>
        <v>223382</v>
      </c>
      <c r="K16" s="25">
        <f t="shared" si="0"/>
        <v>0</v>
      </c>
      <c r="L16" s="25">
        <f t="shared" si="1"/>
        <v>109720</v>
      </c>
      <c r="M16" s="25">
        <f t="shared" si="2"/>
        <v>0</v>
      </c>
      <c r="N16" s="25">
        <f t="shared" si="3"/>
        <v>313167</v>
      </c>
    </row>
    <row r="17" spans="1:14" ht="15">
      <c r="A17" s="3">
        <f t="shared" si="4"/>
        <v>10</v>
      </c>
      <c r="B17" s="130">
        <v>41824</v>
      </c>
      <c r="C17" s="131">
        <v>0</v>
      </c>
      <c r="D17" s="131">
        <v>0</v>
      </c>
      <c r="E17" s="81">
        <f t="shared" si="5"/>
        <v>0</v>
      </c>
      <c r="F17" s="81">
        <f t="shared" si="6"/>
        <v>0</v>
      </c>
      <c r="G17" s="127">
        <v>8065</v>
      </c>
      <c r="H17" s="127">
        <v>54576</v>
      </c>
      <c r="I17" s="25">
        <f t="shared" si="7"/>
        <v>97850</v>
      </c>
      <c r="J17" s="25">
        <f t="shared" si="8"/>
        <v>277958</v>
      </c>
      <c r="K17" s="25">
        <f>C17+D17</f>
        <v>0</v>
      </c>
      <c r="L17" s="25">
        <f t="shared" si="1"/>
        <v>62641</v>
      </c>
      <c r="M17" s="25">
        <f t="shared" si="2"/>
        <v>0</v>
      </c>
      <c r="N17" s="25">
        <f t="shared" si="3"/>
        <v>375808</v>
      </c>
    </row>
    <row r="18" spans="1:14" ht="15">
      <c r="A18" s="3">
        <f t="shared" si="4"/>
        <v>11</v>
      </c>
      <c r="B18" s="130">
        <v>41831</v>
      </c>
      <c r="C18" s="131">
        <v>0</v>
      </c>
      <c r="D18" s="131">
        <v>0</v>
      </c>
      <c r="E18" s="81">
        <f t="shared" si="5"/>
        <v>0</v>
      </c>
      <c r="F18" s="81">
        <f t="shared" si="6"/>
        <v>0</v>
      </c>
      <c r="G18" s="127">
        <v>8404</v>
      </c>
      <c r="H18" s="127">
        <v>92534</v>
      </c>
      <c r="I18" s="25">
        <f t="shared" si="7"/>
        <v>106254</v>
      </c>
      <c r="J18" s="25">
        <f t="shared" si="8"/>
        <v>370492</v>
      </c>
      <c r="K18" s="25">
        <f t="shared" si="0"/>
        <v>0</v>
      </c>
      <c r="L18" s="25">
        <f t="shared" si="1"/>
        <v>100938</v>
      </c>
      <c r="M18" s="25">
        <f t="shared" si="2"/>
        <v>0</v>
      </c>
      <c r="N18" s="25">
        <f t="shared" si="3"/>
        <v>476746</v>
      </c>
    </row>
    <row r="19" spans="1:14" ht="15">
      <c r="A19" s="3">
        <f t="shared" si="4"/>
        <v>12</v>
      </c>
      <c r="B19" s="130">
        <v>41838</v>
      </c>
      <c r="C19" s="131">
        <v>0</v>
      </c>
      <c r="D19" s="131">
        <v>0</v>
      </c>
      <c r="E19" s="81">
        <f t="shared" si="5"/>
        <v>0</v>
      </c>
      <c r="F19" s="81">
        <f t="shared" si="6"/>
        <v>0</v>
      </c>
      <c r="G19" s="127">
        <v>15073</v>
      </c>
      <c r="H19" s="127">
        <v>122939</v>
      </c>
      <c r="I19" s="25">
        <f t="shared" si="7"/>
        <v>121327</v>
      </c>
      <c r="J19" s="25">
        <f t="shared" si="8"/>
        <v>493431</v>
      </c>
      <c r="K19" s="25">
        <f t="shared" si="0"/>
        <v>0</v>
      </c>
      <c r="L19" s="25">
        <f t="shared" si="1"/>
        <v>138012</v>
      </c>
      <c r="M19" s="25">
        <f t="shared" si="2"/>
        <v>0</v>
      </c>
      <c r="N19" s="25">
        <f t="shared" si="3"/>
        <v>614758</v>
      </c>
    </row>
    <row r="20" spans="1:14" ht="15">
      <c r="A20" s="3">
        <f t="shared" si="4"/>
        <v>13</v>
      </c>
      <c r="B20" s="130">
        <v>41845</v>
      </c>
      <c r="C20" s="131">
        <v>0</v>
      </c>
      <c r="D20" s="131">
        <v>0</v>
      </c>
      <c r="E20" s="81">
        <f>E19+C20</f>
        <v>0</v>
      </c>
      <c r="F20" s="81">
        <f t="shared" si="6"/>
        <v>0</v>
      </c>
      <c r="G20" s="127">
        <v>18542</v>
      </c>
      <c r="H20" s="127">
        <v>95504</v>
      </c>
      <c r="I20" s="25">
        <f t="shared" si="7"/>
        <v>139869</v>
      </c>
      <c r="J20" s="25">
        <f t="shared" si="8"/>
        <v>588935</v>
      </c>
      <c r="K20" s="25">
        <f t="shared" si="0"/>
        <v>0</v>
      </c>
      <c r="L20" s="25">
        <f t="shared" si="1"/>
        <v>114046</v>
      </c>
      <c r="M20" s="25">
        <f t="shared" si="2"/>
        <v>0</v>
      </c>
      <c r="N20" s="25">
        <f t="shared" si="3"/>
        <v>728804</v>
      </c>
    </row>
    <row r="21" spans="1:14" ht="15">
      <c r="A21" s="3">
        <f t="shared" si="4"/>
        <v>14</v>
      </c>
      <c r="B21" s="130">
        <v>41852</v>
      </c>
      <c r="C21" s="131">
        <v>0</v>
      </c>
      <c r="D21" s="131">
        <v>0</v>
      </c>
      <c r="E21" s="81">
        <f t="shared" si="5"/>
        <v>0</v>
      </c>
      <c r="F21" s="81">
        <f t="shared" si="6"/>
        <v>0</v>
      </c>
      <c r="G21" s="127">
        <v>9734</v>
      </c>
      <c r="H21" s="127">
        <v>97192</v>
      </c>
      <c r="I21" s="25">
        <f t="shared" si="7"/>
        <v>149603</v>
      </c>
      <c r="J21" s="25">
        <f t="shared" si="8"/>
        <v>686127</v>
      </c>
      <c r="K21" s="25">
        <f t="shared" si="0"/>
        <v>0</v>
      </c>
      <c r="L21" s="25">
        <f t="shared" si="1"/>
        <v>106926</v>
      </c>
      <c r="M21" s="25">
        <f t="shared" si="2"/>
        <v>0</v>
      </c>
      <c r="N21" s="25">
        <f t="shared" si="3"/>
        <v>835730</v>
      </c>
    </row>
    <row r="22" spans="1:14" ht="15">
      <c r="A22" s="3">
        <f t="shared" si="4"/>
        <v>15</v>
      </c>
      <c r="B22" s="130">
        <v>41859</v>
      </c>
      <c r="C22" s="131">
        <v>0</v>
      </c>
      <c r="D22" s="131">
        <v>0</v>
      </c>
      <c r="E22" s="81">
        <f t="shared" si="5"/>
        <v>0</v>
      </c>
      <c r="F22" s="81">
        <f t="shared" si="6"/>
        <v>0</v>
      </c>
      <c r="G22" s="127">
        <v>9235</v>
      </c>
      <c r="H22" s="127">
        <v>70597</v>
      </c>
      <c r="I22" s="25">
        <f t="shared" si="7"/>
        <v>158838</v>
      </c>
      <c r="J22" s="25">
        <f t="shared" si="8"/>
        <v>756724</v>
      </c>
      <c r="K22" s="25">
        <f t="shared" si="0"/>
        <v>0</v>
      </c>
      <c r="L22" s="25">
        <f t="shared" si="1"/>
        <v>79832</v>
      </c>
      <c r="M22" s="25">
        <f t="shared" si="2"/>
        <v>0</v>
      </c>
      <c r="N22" s="25">
        <f t="shared" si="3"/>
        <v>915562</v>
      </c>
    </row>
    <row r="23" spans="1:14" ht="15">
      <c r="A23" s="3">
        <f t="shared" si="4"/>
        <v>16</v>
      </c>
      <c r="B23" s="130">
        <v>41866</v>
      </c>
      <c r="C23" s="131">
        <v>0</v>
      </c>
      <c r="D23" s="131">
        <v>0</v>
      </c>
      <c r="E23" s="81">
        <f>E22+C23</f>
        <v>0</v>
      </c>
      <c r="F23" s="81">
        <f t="shared" si="6"/>
        <v>0</v>
      </c>
      <c r="G23" s="127">
        <v>10528</v>
      </c>
      <c r="H23" s="127">
        <v>119575</v>
      </c>
      <c r="I23" s="25">
        <f t="shared" si="7"/>
        <v>169366</v>
      </c>
      <c r="J23" s="25">
        <f t="shared" si="8"/>
        <v>876299</v>
      </c>
      <c r="K23" s="25">
        <f t="shared" si="0"/>
        <v>0</v>
      </c>
      <c r="L23" s="25">
        <f t="shared" si="1"/>
        <v>130103</v>
      </c>
      <c r="M23" s="25">
        <f t="shared" si="2"/>
        <v>0</v>
      </c>
      <c r="N23" s="25">
        <f t="shared" si="3"/>
        <v>1045665</v>
      </c>
    </row>
    <row r="24" spans="1:14" ht="15">
      <c r="A24" s="3">
        <f t="shared" si="4"/>
        <v>17</v>
      </c>
      <c r="B24" s="130">
        <v>41873</v>
      </c>
      <c r="C24" s="131">
        <v>0</v>
      </c>
      <c r="D24" s="131">
        <v>0</v>
      </c>
      <c r="E24" s="81">
        <f t="shared" si="5"/>
        <v>0</v>
      </c>
      <c r="F24" s="81">
        <f t="shared" si="6"/>
        <v>0</v>
      </c>
      <c r="G24" s="127">
        <v>10486</v>
      </c>
      <c r="H24" s="127">
        <v>55761</v>
      </c>
      <c r="I24" s="25">
        <f t="shared" si="7"/>
        <v>179852</v>
      </c>
      <c r="J24" s="25">
        <f t="shared" si="8"/>
        <v>932060</v>
      </c>
      <c r="K24" s="25">
        <f t="shared" si="0"/>
        <v>0</v>
      </c>
      <c r="L24" s="25">
        <f t="shared" si="1"/>
        <v>66247</v>
      </c>
      <c r="M24" s="25">
        <f t="shared" si="2"/>
        <v>0</v>
      </c>
      <c r="N24" s="25">
        <f t="shared" si="3"/>
        <v>1111912</v>
      </c>
    </row>
    <row r="25" spans="1:14" ht="15">
      <c r="A25" s="3">
        <f t="shared" si="4"/>
        <v>18</v>
      </c>
      <c r="B25" s="130">
        <v>41880</v>
      </c>
      <c r="C25" s="131">
        <v>0</v>
      </c>
      <c r="D25" s="131">
        <v>0</v>
      </c>
      <c r="E25" s="81">
        <f t="shared" si="5"/>
        <v>0</v>
      </c>
      <c r="F25" s="81">
        <f t="shared" si="6"/>
        <v>0</v>
      </c>
      <c r="G25" s="127">
        <v>10416</v>
      </c>
      <c r="H25" s="127">
        <v>52010</v>
      </c>
      <c r="I25" s="25">
        <f t="shared" si="7"/>
        <v>190268</v>
      </c>
      <c r="J25" s="25">
        <f t="shared" si="8"/>
        <v>984070</v>
      </c>
      <c r="K25" s="25">
        <f t="shared" si="0"/>
        <v>0</v>
      </c>
      <c r="L25" s="25">
        <f t="shared" si="1"/>
        <v>62426</v>
      </c>
      <c r="M25" s="25">
        <f t="shared" si="2"/>
        <v>0</v>
      </c>
      <c r="N25" s="25">
        <f t="shared" si="3"/>
        <v>1174338</v>
      </c>
    </row>
    <row r="26" spans="1:14" ht="15">
      <c r="A26" s="3">
        <f t="shared" si="4"/>
        <v>19</v>
      </c>
      <c r="B26" s="130">
        <v>41887</v>
      </c>
      <c r="C26" s="131">
        <v>0</v>
      </c>
      <c r="D26" s="131">
        <v>0</v>
      </c>
      <c r="E26" s="81">
        <f t="shared" si="5"/>
        <v>0</v>
      </c>
      <c r="F26" s="81">
        <f t="shared" si="6"/>
        <v>0</v>
      </c>
      <c r="G26" s="127">
        <v>9637</v>
      </c>
      <c r="H26" s="127">
        <v>27594</v>
      </c>
      <c r="I26" s="25">
        <f t="shared" si="7"/>
        <v>199905</v>
      </c>
      <c r="J26" s="25">
        <f t="shared" si="8"/>
        <v>1011664</v>
      </c>
      <c r="K26" s="25">
        <f t="shared" si="0"/>
        <v>0</v>
      </c>
      <c r="L26" s="25">
        <f t="shared" si="1"/>
        <v>37231</v>
      </c>
      <c r="M26" s="25">
        <f t="shared" si="2"/>
        <v>0</v>
      </c>
      <c r="N26" s="25">
        <f t="shared" si="3"/>
        <v>1211569</v>
      </c>
    </row>
    <row r="27" spans="1:14" ht="15">
      <c r="A27" s="3">
        <f t="shared" si="4"/>
        <v>20</v>
      </c>
      <c r="B27" s="130">
        <v>41894</v>
      </c>
      <c r="C27" s="131">
        <v>0</v>
      </c>
      <c r="D27" s="131">
        <v>0</v>
      </c>
      <c r="E27" s="81">
        <f t="shared" si="5"/>
        <v>0</v>
      </c>
      <c r="F27" s="81">
        <f t="shared" si="6"/>
        <v>0</v>
      </c>
      <c r="G27" s="127">
        <v>10876</v>
      </c>
      <c r="H27" s="127">
        <v>45171</v>
      </c>
      <c r="I27" s="25">
        <f t="shared" si="7"/>
        <v>210781</v>
      </c>
      <c r="J27" s="25">
        <f t="shared" si="8"/>
        <v>1056835</v>
      </c>
      <c r="K27" s="25" t="s">
        <v>102</v>
      </c>
      <c r="L27" s="25">
        <f t="shared" si="1"/>
        <v>56047</v>
      </c>
      <c r="M27" s="25">
        <f t="shared" si="2"/>
        <v>0</v>
      </c>
      <c r="N27" s="25">
        <f t="shared" si="3"/>
        <v>1267616</v>
      </c>
    </row>
    <row r="28" spans="1:14" ht="15">
      <c r="A28" s="3">
        <f t="shared" si="4"/>
        <v>21</v>
      </c>
      <c r="B28" s="130">
        <v>41901</v>
      </c>
      <c r="C28" s="131">
        <v>0</v>
      </c>
      <c r="D28" s="131">
        <v>0</v>
      </c>
      <c r="E28" s="81">
        <f t="shared" si="5"/>
        <v>0</v>
      </c>
      <c r="F28" s="81">
        <f t="shared" si="6"/>
        <v>0</v>
      </c>
      <c r="G28" s="133">
        <v>7554</v>
      </c>
      <c r="H28" s="133">
        <v>58739</v>
      </c>
      <c r="I28" s="25">
        <f t="shared" si="7"/>
        <v>218335</v>
      </c>
      <c r="J28" s="25">
        <f t="shared" si="8"/>
        <v>1115574</v>
      </c>
      <c r="K28" s="25">
        <f t="shared" si="0"/>
        <v>0</v>
      </c>
      <c r="L28" s="25">
        <f t="shared" si="1"/>
        <v>66293</v>
      </c>
      <c r="M28" s="25">
        <f t="shared" si="2"/>
        <v>0</v>
      </c>
      <c r="N28" s="25">
        <f t="shared" si="3"/>
        <v>1333909</v>
      </c>
    </row>
    <row r="29" spans="1:14" ht="15">
      <c r="A29" s="3">
        <f t="shared" si="4"/>
        <v>22</v>
      </c>
      <c r="B29" s="130">
        <v>41908</v>
      </c>
      <c r="C29" s="131">
        <v>0</v>
      </c>
      <c r="D29" s="131">
        <v>0</v>
      </c>
      <c r="E29" s="81">
        <f t="shared" si="5"/>
        <v>0</v>
      </c>
      <c r="F29" s="81">
        <f t="shared" si="6"/>
        <v>0</v>
      </c>
      <c r="G29" s="133">
        <v>8638</v>
      </c>
      <c r="H29" s="133">
        <v>95513</v>
      </c>
      <c r="I29" s="25">
        <f t="shared" si="7"/>
        <v>226973</v>
      </c>
      <c r="J29" s="25">
        <f t="shared" si="8"/>
        <v>1211087</v>
      </c>
      <c r="K29" s="61">
        <f t="shared" si="0"/>
        <v>0</v>
      </c>
      <c r="L29" s="25">
        <f t="shared" si="1"/>
        <v>104151</v>
      </c>
      <c r="M29" s="57">
        <f t="shared" si="2"/>
        <v>0</v>
      </c>
      <c r="N29" s="25">
        <f t="shared" si="3"/>
        <v>1438060</v>
      </c>
    </row>
    <row r="30" spans="1:16" ht="15">
      <c r="A30" s="3">
        <f t="shared" si="4"/>
        <v>23</v>
      </c>
      <c r="B30" s="130">
        <v>41915</v>
      </c>
      <c r="C30" s="131">
        <v>0</v>
      </c>
      <c r="D30" s="132">
        <v>0</v>
      </c>
      <c r="E30" s="81">
        <f t="shared" si="5"/>
        <v>0</v>
      </c>
      <c r="F30" s="81">
        <f t="shared" si="6"/>
        <v>0</v>
      </c>
      <c r="G30" s="133">
        <v>9145</v>
      </c>
      <c r="H30" s="133">
        <v>44614</v>
      </c>
      <c r="I30" s="25">
        <f t="shared" si="7"/>
        <v>236118</v>
      </c>
      <c r="J30" s="25">
        <f t="shared" si="8"/>
        <v>1255701</v>
      </c>
      <c r="K30" s="26">
        <f t="shared" si="0"/>
        <v>0</v>
      </c>
      <c r="L30" s="25">
        <f t="shared" si="1"/>
        <v>53759</v>
      </c>
      <c r="M30" s="25">
        <f t="shared" si="2"/>
        <v>0</v>
      </c>
      <c r="N30" s="57">
        <f t="shared" si="3"/>
        <v>1491819</v>
      </c>
      <c r="P30" s="87" t="s">
        <v>89</v>
      </c>
    </row>
    <row r="31" spans="1:14" ht="15">
      <c r="A31" s="3">
        <f t="shared" si="4"/>
        <v>24</v>
      </c>
      <c r="B31" s="130">
        <v>41922</v>
      </c>
      <c r="C31" s="131">
        <v>0</v>
      </c>
      <c r="D31" s="131">
        <v>0</v>
      </c>
      <c r="E31" s="81">
        <f t="shared" si="5"/>
        <v>0</v>
      </c>
      <c r="F31" s="81">
        <f t="shared" si="6"/>
        <v>0</v>
      </c>
      <c r="G31" s="133">
        <v>7115</v>
      </c>
      <c r="H31" s="133">
        <v>14734</v>
      </c>
      <c r="I31" s="25">
        <f t="shared" si="7"/>
        <v>243233</v>
      </c>
      <c r="J31" s="25">
        <f t="shared" si="8"/>
        <v>1270435</v>
      </c>
      <c r="K31" s="26">
        <f t="shared" si="0"/>
        <v>0</v>
      </c>
      <c r="L31" s="25">
        <f t="shared" si="1"/>
        <v>21849</v>
      </c>
      <c r="M31" s="25">
        <f t="shared" si="2"/>
        <v>0</v>
      </c>
      <c r="N31" s="57">
        <f t="shared" si="3"/>
        <v>1513668</v>
      </c>
    </row>
    <row r="32" spans="1:14" ht="15">
      <c r="A32" s="3">
        <f t="shared" si="4"/>
        <v>25</v>
      </c>
      <c r="B32" s="130">
        <v>41929</v>
      </c>
      <c r="C32" s="131">
        <v>0</v>
      </c>
      <c r="D32" s="131">
        <v>0</v>
      </c>
      <c r="E32" s="81">
        <f t="shared" si="5"/>
        <v>0</v>
      </c>
      <c r="F32" s="81">
        <f t="shared" si="6"/>
        <v>0</v>
      </c>
      <c r="G32" s="133">
        <v>8535</v>
      </c>
      <c r="H32" s="133">
        <v>6619</v>
      </c>
      <c r="I32" s="25">
        <f t="shared" si="7"/>
        <v>251768</v>
      </c>
      <c r="J32" s="25">
        <f t="shared" si="8"/>
        <v>1277054</v>
      </c>
      <c r="K32" s="26">
        <f t="shared" si="0"/>
        <v>0</v>
      </c>
      <c r="L32" s="25">
        <f t="shared" si="1"/>
        <v>15154</v>
      </c>
      <c r="M32" s="25">
        <f t="shared" si="2"/>
        <v>0</v>
      </c>
      <c r="N32" s="57">
        <f t="shared" si="3"/>
        <v>1528822</v>
      </c>
    </row>
    <row r="33" spans="1:14" ht="15">
      <c r="A33" s="3">
        <f t="shared" si="4"/>
        <v>26</v>
      </c>
      <c r="B33" s="130">
        <v>41936</v>
      </c>
      <c r="C33" s="131">
        <v>0</v>
      </c>
      <c r="D33" s="131">
        <v>0</v>
      </c>
      <c r="E33" s="81">
        <f t="shared" si="5"/>
        <v>0</v>
      </c>
      <c r="F33" s="81">
        <f t="shared" si="6"/>
        <v>0</v>
      </c>
      <c r="G33" s="133">
        <v>11190</v>
      </c>
      <c r="H33" s="133">
        <v>49204</v>
      </c>
      <c r="I33" s="25">
        <f t="shared" si="7"/>
        <v>262958</v>
      </c>
      <c r="J33" s="25">
        <f t="shared" si="8"/>
        <v>1326258</v>
      </c>
      <c r="K33" s="26">
        <f t="shared" si="0"/>
        <v>0</v>
      </c>
      <c r="L33" s="25">
        <f t="shared" si="1"/>
        <v>60394</v>
      </c>
      <c r="M33" s="25">
        <f t="shared" si="2"/>
        <v>0</v>
      </c>
      <c r="N33" s="57">
        <f t="shared" si="3"/>
        <v>1589216</v>
      </c>
    </row>
    <row r="34" spans="1:14" ht="15">
      <c r="A34" s="3">
        <f t="shared" si="4"/>
        <v>27</v>
      </c>
      <c r="B34" s="130">
        <v>41943</v>
      </c>
      <c r="C34" s="131">
        <v>0</v>
      </c>
      <c r="D34" s="131">
        <v>0</v>
      </c>
      <c r="E34" s="81">
        <f t="shared" si="5"/>
        <v>0</v>
      </c>
      <c r="F34" s="81">
        <f t="shared" si="6"/>
        <v>0</v>
      </c>
      <c r="G34" s="133">
        <v>12705</v>
      </c>
      <c r="H34" s="133">
        <v>3977</v>
      </c>
      <c r="I34" s="25">
        <f t="shared" si="7"/>
        <v>275663</v>
      </c>
      <c r="J34" s="25">
        <f t="shared" si="8"/>
        <v>1330235</v>
      </c>
      <c r="K34" s="26">
        <f t="shared" si="0"/>
        <v>0</v>
      </c>
      <c r="L34" s="25">
        <f t="shared" si="1"/>
        <v>16682</v>
      </c>
      <c r="M34" s="25">
        <f t="shared" si="2"/>
        <v>0</v>
      </c>
      <c r="N34" s="57">
        <f t="shared" si="3"/>
        <v>1605898</v>
      </c>
    </row>
    <row r="35" spans="1:14" ht="15">
      <c r="A35" s="3">
        <f t="shared" si="4"/>
        <v>28</v>
      </c>
      <c r="B35" s="130">
        <v>41950</v>
      </c>
      <c r="C35" s="131">
        <v>0</v>
      </c>
      <c r="D35" s="131">
        <v>0</v>
      </c>
      <c r="E35" s="81">
        <f t="shared" si="5"/>
        <v>0</v>
      </c>
      <c r="F35" s="81">
        <f t="shared" si="6"/>
        <v>0</v>
      </c>
      <c r="G35" s="133">
        <v>11548</v>
      </c>
      <c r="H35" s="133">
        <v>2533</v>
      </c>
      <c r="I35" s="25">
        <f t="shared" si="7"/>
        <v>287211</v>
      </c>
      <c r="J35" s="25">
        <f t="shared" si="8"/>
        <v>1332768</v>
      </c>
      <c r="K35" s="26">
        <f t="shared" si="0"/>
        <v>0</v>
      </c>
      <c r="L35" s="25">
        <f t="shared" si="1"/>
        <v>14081</v>
      </c>
      <c r="M35" s="25">
        <f t="shared" si="2"/>
        <v>0</v>
      </c>
      <c r="N35" s="57">
        <f t="shared" si="3"/>
        <v>1619979</v>
      </c>
    </row>
    <row r="36" spans="1:14" ht="15">
      <c r="A36" s="3">
        <f t="shared" si="4"/>
        <v>29</v>
      </c>
      <c r="B36" s="130">
        <v>41957</v>
      </c>
      <c r="C36" s="131">
        <v>0</v>
      </c>
      <c r="D36" s="131">
        <v>0</v>
      </c>
      <c r="E36" s="81">
        <f t="shared" si="5"/>
        <v>0</v>
      </c>
      <c r="F36" s="81">
        <f t="shared" si="6"/>
        <v>0</v>
      </c>
      <c r="G36" s="133">
        <v>8151</v>
      </c>
      <c r="H36" s="133">
        <v>4620</v>
      </c>
      <c r="I36" s="25">
        <f t="shared" si="7"/>
        <v>295362</v>
      </c>
      <c r="J36" s="25">
        <f t="shared" si="8"/>
        <v>1337388</v>
      </c>
      <c r="K36" s="26">
        <f t="shared" si="0"/>
        <v>0</v>
      </c>
      <c r="L36" s="25">
        <f t="shared" si="1"/>
        <v>12771</v>
      </c>
      <c r="M36" s="25">
        <f t="shared" si="2"/>
        <v>0</v>
      </c>
      <c r="N36" s="57">
        <f t="shared" si="3"/>
        <v>1632750</v>
      </c>
    </row>
    <row r="37" spans="1:14" ht="15">
      <c r="A37" s="3">
        <f t="shared" si="4"/>
        <v>30</v>
      </c>
      <c r="B37" s="130">
        <v>41964</v>
      </c>
      <c r="C37" s="131">
        <v>0</v>
      </c>
      <c r="D37" s="131">
        <v>0</v>
      </c>
      <c r="E37" s="81">
        <f t="shared" si="5"/>
        <v>0</v>
      </c>
      <c r="F37" s="81">
        <f t="shared" si="6"/>
        <v>0</v>
      </c>
      <c r="G37" s="133">
        <v>11103</v>
      </c>
      <c r="H37" s="133">
        <v>3742</v>
      </c>
      <c r="I37" s="25">
        <f t="shared" si="7"/>
        <v>306465</v>
      </c>
      <c r="J37" s="25">
        <f t="shared" si="8"/>
        <v>1341130</v>
      </c>
      <c r="K37" s="26">
        <f t="shared" si="0"/>
        <v>0</v>
      </c>
      <c r="L37" s="25">
        <f t="shared" si="1"/>
        <v>14845</v>
      </c>
      <c r="M37" s="25">
        <f t="shared" si="2"/>
        <v>0</v>
      </c>
      <c r="N37" s="57">
        <f t="shared" si="3"/>
        <v>1647595</v>
      </c>
    </row>
    <row r="38" spans="1:14" ht="15">
      <c r="A38" s="3">
        <f t="shared" si="4"/>
        <v>31</v>
      </c>
      <c r="B38" s="130">
        <v>41971</v>
      </c>
      <c r="C38" s="131">
        <v>0</v>
      </c>
      <c r="D38" s="131">
        <v>0</v>
      </c>
      <c r="E38" s="81">
        <f t="shared" si="5"/>
        <v>0</v>
      </c>
      <c r="F38" s="81">
        <f t="shared" si="6"/>
        <v>0</v>
      </c>
      <c r="G38" s="133">
        <v>10279</v>
      </c>
      <c r="H38" s="133">
        <v>2884</v>
      </c>
      <c r="I38" s="25">
        <f t="shared" si="7"/>
        <v>316744</v>
      </c>
      <c r="J38" s="25">
        <f t="shared" si="8"/>
        <v>1344014</v>
      </c>
      <c r="K38" s="26">
        <f t="shared" si="0"/>
        <v>0</v>
      </c>
      <c r="L38" s="25">
        <f t="shared" si="1"/>
        <v>13163</v>
      </c>
      <c r="M38" s="25">
        <f t="shared" si="2"/>
        <v>0</v>
      </c>
      <c r="N38" s="57">
        <f t="shared" si="3"/>
        <v>1660758</v>
      </c>
    </row>
    <row r="39" spans="1:14" ht="15">
      <c r="A39" s="3">
        <f t="shared" si="4"/>
        <v>32</v>
      </c>
      <c r="B39" s="130">
        <v>41978</v>
      </c>
      <c r="C39" s="131">
        <v>0</v>
      </c>
      <c r="D39" s="131">
        <v>0</v>
      </c>
      <c r="E39" s="81">
        <f t="shared" si="5"/>
        <v>0</v>
      </c>
      <c r="F39" s="81">
        <f t="shared" si="6"/>
        <v>0</v>
      </c>
      <c r="G39" s="133">
        <v>11195</v>
      </c>
      <c r="H39" s="133">
        <v>2721</v>
      </c>
      <c r="I39" s="25">
        <f t="shared" si="7"/>
        <v>327939</v>
      </c>
      <c r="J39" s="25">
        <f t="shared" si="8"/>
        <v>1346735</v>
      </c>
      <c r="K39" s="26">
        <f t="shared" si="0"/>
        <v>0</v>
      </c>
      <c r="L39" s="25">
        <f t="shared" si="1"/>
        <v>13916</v>
      </c>
      <c r="M39" s="25">
        <f t="shared" si="2"/>
        <v>0</v>
      </c>
      <c r="N39" s="57">
        <f t="shared" si="3"/>
        <v>1674674</v>
      </c>
    </row>
    <row r="40" spans="1:14" ht="15">
      <c r="A40" s="3">
        <f t="shared" si="4"/>
        <v>33</v>
      </c>
      <c r="B40" s="130">
        <v>41985</v>
      </c>
      <c r="C40" s="131">
        <v>0</v>
      </c>
      <c r="D40" s="131">
        <v>0</v>
      </c>
      <c r="E40" s="81">
        <f t="shared" si="5"/>
        <v>0</v>
      </c>
      <c r="F40" s="81">
        <f t="shared" si="6"/>
        <v>0</v>
      </c>
      <c r="G40" s="131">
        <v>0</v>
      </c>
      <c r="H40" s="131">
        <v>0</v>
      </c>
      <c r="I40" s="25">
        <f t="shared" si="7"/>
        <v>327939</v>
      </c>
      <c r="J40" s="25">
        <f t="shared" si="8"/>
        <v>1346735</v>
      </c>
      <c r="K40" s="26">
        <f aca="true" t="shared" si="9" ref="K40:K59">C40+D40</f>
        <v>0</v>
      </c>
      <c r="L40" s="25">
        <f aca="true" t="shared" si="10" ref="L40:L59">G40+H40</f>
        <v>0</v>
      </c>
      <c r="M40" s="25">
        <f aca="true" t="shared" si="11" ref="M40:M59">E40+F40</f>
        <v>0</v>
      </c>
      <c r="N40" s="57">
        <f aca="true" t="shared" si="12" ref="N40:N59">I40+J40</f>
        <v>1674674</v>
      </c>
    </row>
    <row r="41" spans="1:14" ht="15">
      <c r="A41" s="3">
        <f aca="true" t="shared" si="13" ref="A41:A59">A40+1</f>
        <v>34</v>
      </c>
      <c r="B41" s="130">
        <v>41992</v>
      </c>
      <c r="C41" s="131">
        <v>0</v>
      </c>
      <c r="D41" s="131">
        <v>0</v>
      </c>
      <c r="E41" s="81">
        <f t="shared" si="5"/>
        <v>0</v>
      </c>
      <c r="F41" s="81">
        <f t="shared" si="6"/>
        <v>0</v>
      </c>
      <c r="G41" s="131">
        <v>0</v>
      </c>
      <c r="H41" s="131">
        <v>0</v>
      </c>
      <c r="I41" s="25">
        <f t="shared" si="7"/>
        <v>327939</v>
      </c>
      <c r="J41" s="25">
        <f t="shared" si="8"/>
        <v>1346735</v>
      </c>
      <c r="K41" s="26">
        <f t="shared" si="9"/>
        <v>0</v>
      </c>
      <c r="L41" s="25">
        <f t="shared" si="10"/>
        <v>0</v>
      </c>
      <c r="M41" s="25">
        <f t="shared" si="11"/>
        <v>0</v>
      </c>
      <c r="N41" s="57">
        <f t="shared" si="12"/>
        <v>1674674</v>
      </c>
    </row>
    <row r="42" spans="1:14" ht="15">
      <c r="A42" s="3">
        <f t="shared" si="13"/>
        <v>35</v>
      </c>
      <c r="B42" s="130">
        <v>41999</v>
      </c>
      <c r="C42" s="131">
        <v>0</v>
      </c>
      <c r="D42" s="131">
        <v>0</v>
      </c>
      <c r="E42" s="81">
        <f t="shared" si="5"/>
        <v>0</v>
      </c>
      <c r="F42" s="81">
        <f t="shared" si="6"/>
        <v>0</v>
      </c>
      <c r="G42" s="133">
        <v>27945</v>
      </c>
      <c r="H42" s="126">
        <v>9904</v>
      </c>
      <c r="I42" s="25">
        <f t="shared" si="7"/>
        <v>355884</v>
      </c>
      <c r="J42" s="25">
        <f t="shared" si="8"/>
        <v>1356639</v>
      </c>
      <c r="K42" s="26">
        <f t="shared" si="9"/>
        <v>0</v>
      </c>
      <c r="L42" s="25">
        <f t="shared" si="10"/>
        <v>37849</v>
      </c>
      <c r="M42" s="25">
        <f t="shared" si="11"/>
        <v>0</v>
      </c>
      <c r="N42" s="57">
        <f t="shared" si="12"/>
        <v>1712523</v>
      </c>
    </row>
    <row r="43" spans="1:14" ht="15">
      <c r="A43" s="3">
        <f t="shared" si="13"/>
        <v>36</v>
      </c>
      <c r="B43" s="130">
        <v>42006</v>
      </c>
      <c r="C43" s="131">
        <v>0</v>
      </c>
      <c r="D43" s="131">
        <v>0</v>
      </c>
      <c r="E43" s="81">
        <f t="shared" si="5"/>
        <v>0</v>
      </c>
      <c r="F43" s="81">
        <f t="shared" si="6"/>
        <v>0</v>
      </c>
      <c r="G43" s="133">
        <v>6117</v>
      </c>
      <c r="H43" s="126">
        <v>1916</v>
      </c>
      <c r="I43" s="25">
        <f t="shared" si="7"/>
        <v>362001</v>
      </c>
      <c r="J43" s="25">
        <f t="shared" si="8"/>
        <v>1358555</v>
      </c>
      <c r="K43" s="26">
        <f t="shared" si="9"/>
        <v>0</v>
      </c>
      <c r="L43" s="25">
        <f t="shared" si="10"/>
        <v>8033</v>
      </c>
      <c r="M43" s="25">
        <f t="shared" si="11"/>
        <v>0</v>
      </c>
      <c r="N43" s="57">
        <f t="shared" si="12"/>
        <v>1720556</v>
      </c>
    </row>
    <row r="44" spans="1:14" ht="15">
      <c r="A44" s="3">
        <f t="shared" si="13"/>
        <v>37</v>
      </c>
      <c r="B44" s="130">
        <v>42013</v>
      </c>
      <c r="C44" s="131">
        <v>0</v>
      </c>
      <c r="D44" s="131">
        <v>0</v>
      </c>
      <c r="E44" s="81">
        <f t="shared" si="5"/>
        <v>0</v>
      </c>
      <c r="F44" s="81">
        <f t="shared" si="6"/>
        <v>0</v>
      </c>
      <c r="G44" s="133">
        <v>10325</v>
      </c>
      <c r="H44" s="126">
        <v>2677</v>
      </c>
      <c r="I44" s="25">
        <f t="shared" si="7"/>
        <v>372326</v>
      </c>
      <c r="J44" s="25">
        <f t="shared" si="8"/>
        <v>1361232</v>
      </c>
      <c r="K44" s="26">
        <f t="shared" si="9"/>
        <v>0</v>
      </c>
      <c r="L44" s="25">
        <f t="shared" si="10"/>
        <v>13002</v>
      </c>
      <c r="M44" s="25">
        <f t="shared" si="11"/>
        <v>0</v>
      </c>
      <c r="N44" s="57">
        <f t="shared" si="12"/>
        <v>1733558</v>
      </c>
    </row>
    <row r="45" spans="1:14" ht="15">
      <c r="A45" s="3">
        <f t="shared" si="13"/>
        <v>38</v>
      </c>
      <c r="B45" s="130">
        <v>42020</v>
      </c>
      <c r="C45" s="131">
        <v>0</v>
      </c>
      <c r="D45" s="131">
        <v>0</v>
      </c>
      <c r="E45" s="81">
        <f t="shared" si="5"/>
        <v>0</v>
      </c>
      <c r="F45" s="81">
        <f>F44+D45</f>
        <v>0</v>
      </c>
      <c r="G45" s="133">
        <v>14763</v>
      </c>
      <c r="H45" s="126">
        <v>2347</v>
      </c>
      <c r="I45" s="25">
        <f t="shared" si="7"/>
        <v>387089</v>
      </c>
      <c r="J45" s="25">
        <f t="shared" si="8"/>
        <v>1363579</v>
      </c>
      <c r="K45" s="26">
        <f t="shared" si="9"/>
        <v>0</v>
      </c>
      <c r="L45" s="25">
        <f t="shared" si="10"/>
        <v>17110</v>
      </c>
      <c r="M45" s="25">
        <f t="shared" si="11"/>
        <v>0</v>
      </c>
      <c r="N45" s="57">
        <f t="shared" si="12"/>
        <v>1750668</v>
      </c>
    </row>
    <row r="46" spans="1:14" ht="15">
      <c r="A46" s="3">
        <f t="shared" si="13"/>
        <v>39</v>
      </c>
      <c r="B46" s="130">
        <v>42027</v>
      </c>
      <c r="C46" s="131">
        <v>0</v>
      </c>
      <c r="D46" s="131">
        <v>0</v>
      </c>
      <c r="E46" s="81">
        <f t="shared" si="5"/>
        <v>0</v>
      </c>
      <c r="F46" s="81">
        <f>F45+D46</f>
        <v>0</v>
      </c>
      <c r="G46" s="133">
        <v>11765</v>
      </c>
      <c r="H46" s="126">
        <v>2559</v>
      </c>
      <c r="I46" s="25">
        <f t="shared" si="7"/>
        <v>398854</v>
      </c>
      <c r="J46" s="25">
        <f t="shared" si="8"/>
        <v>1366138</v>
      </c>
      <c r="K46" s="26">
        <f t="shared" si="9"/>
        <v>0</v>
      </c>
      <c r="L46" s="25">
        <f t="shared" si="10"/>
        <v>14324</v>
      </c>
      <c r="M46" s="25">
        <f t="shared" si="11"/>
        <v>0</v>
      </c>
      <c r="N46" s="57">
        <f t="shared" si="12"/>
        <v>1764992</v>
      </c>
    </row>
    <row r="47" spans="1:14" ht="15">
      <c r="A47" s="3">
        <f t="shared" si="13"/>
        <v>40</v>
      </c>
      <c r="B47" s="130">
        <v>42034</v>
      </c>
      <c r="C47" s="131">
        <v>0</v>
      </c>
      <c r="D47" s="131">
        <v>0</v>
      </c>
      <c r="E47" s="81">
        <f t="shared" si="5"/>
        <v>0</v>
      </c>
      <c r="F47" s="81">
        <f aca="true" t="shared" si="14" ref="F47:F58">F46+D47</f>
        <v>0</v>
      </c>
      <c r="G47" s="133">
        <v>9200</v>
      </c>
      <c r="H47" s="126">
        <v>3911</v>
      </c>
      <c r="I47" s="25">
        <f t="shared" si="7"/>
        <v>408054</v>
      </c>
      <c r="J47" s="25">
        <f t="shared" si="8"/>
        <v>1370049</v>
      </c>
      <c r="K47" s="26">
        <f t="shared" si="9"/>
        <v>0</v>
      </c>
      <c r="L47" s="25">
        <f t="shared" si="10"/>
        <v>13111</v>
      </c>
      <c r="M47" s="25">
        <f t="shared" si="11"/>
        <v>0</v>
      </c>
      <c r="N47" s="57">
        <f t="shared" si="12"/>
        <v>1778103</v>
      </c>
    </row>
    <row r="48" spans="1:14" ht="15">
      <c r="A48" s="3">
        <f t="shared" si="13"/>
        <v>41</v>
      </c>
      <c r="B48" s="130">
        <v>42041</v>
      </c>
      <c r="C48" s="131">
        <v>0</v>
      </c>
      <c r="D48" s="131">
        <v>0</v>
      </c>
      <c r="E48" s="81">
        <f t="shared" si="5"/>
        <v>0</v>
      </c>
      <c r="F48" s="81">
        <f t="shared" si="14"/>
        <v>0</v>
      </c>
      <c r="G48" s="133">
        <v>10106</v>
      </c>
      <c r="H48" s="126">
        <v>3101</v>
      </c>
      <c r="I48" s="25">
        <f t="shared" si="7"/>
        <v>418160</v>
      </c>
      <c r="J48" s="25">
        <f t="shared" si="8"/>
        <v>1373150</v>
      </c>
      <c r="K48" s="26">
        <f t="shared" si="9"/>
        <v>0</v>
      </c>
      <c r="L48" s="25">
        <f t="shared" si="10"/>
        <v>13207</v>
      </c>
      <c r="M48" s="25">
        <f t="shared" si="11"/>
        <v>0</v>
      </c>
      <c r="N48" s="57">
        <f t="shared" si="12"/>
        <v>1791310</v>
      </c>
    </row>
    <row r="49" spans="1:14" ht="15">
      <c r="A49" s="3">
        <f t="shared" si="13"/>
        <v>42</v>
      </c>
      <c r="B49" s="130">
        <v>42048</v>
      </c>
      <c r="C49" s="131">
        <v>0</v>
      </c>
      <c r="D49" s="131">
        <v>0</v>
      </c>
      <c r="E49" s="81">
        <f t="shared" si="5"/>
        <v>0</v>
      </c>
      <c r="F49" s="81">
        <f t="shared" si="14"/>
        <v>0</v>
      </c>
      <c r="G49" s="133">
        <v>9536</v>
      </c>
      <c r="H49" s="126">
        <v>3412</v>
      </c>
      <c r="I49" s="25">
        <f t="shared" si="7"/>
        <v>427696</v>
      </c>
      <c r="J49" s="25">
        <f t="shared" si="8"/>
        <v>1376562</v>
      </c>
      <c r="K49" s="26">
        <f t="shared" si="9"/>
        <v>0</v>
      </c>
      <c r="L49" s="25">
        <f t="shared" si="10"/>
        <v>12948</v>
      </c>
      <c r="M49" s="25">
        <f t="shared" si="11"/>
        <v>0</v>
      </c>
      <c r="N49" s="57">
        <f t="shared" si="12"/>
        <v>1804258</v>
      </c>
    </row>
    <row r="50" spans="1:14" ht="15">
      <c r="A50" s="3">
        <f t="shared" si="13"/>
        <v>43</v>
      </c>
      <c r="B50" s="130">
        <v>42055</v>
      </c>
      <c r="C50" s="131">
        <v>0</v>
      </c>
      <c r="D50" s="131">
        <v>0</v>
      </c>
      <c r="E50" s="81">
        <f t="shared" si="5"/>
        <v>0</v>
      </c>
      <c r="F50" s="81">
        <f>F49+D50</f>
        <v>0</v>
      </c>
      <c r="G50" s="133">
        <v>16160</v>
      </c>
      <c r="H50" s="126">
        <v>2102</v>
      </c>
      <c r="I50" s="25">
        <f t="shared" si="7"/>
        <v>443856</v>
      </c>
      <c r="J50" s="25">
        <f t="shared" si="8"/>
        <v>1378664</v>
      </c>
      <c r="K50" s="26">
        <f>C50+D50</f>
        <v>0</v>
      </c>
      <c r="L50" s="25">
        <f t="shared" si="10"/>
        <v>18262</v>
      </c>
      <c r="M50" s="25">
        <f t="shared" si="11"/>
        <v>0</v>
      </c>
      <c r="N50" s="57">
        <f t="shared" si="12"/>
        <v>1822520</v>
      </c>
    </row>
    <row r="51" spans="1:14" ht="15">
      <c r="A51" s="3">
        <f t="shared" si="13"/>
        <v>44</v>
      </c>
      <c r="B51" s="130">
        <v>42062</v>
      </c>
      <c r="C51" s="131">
        <v>0</v>
      </c>
      <c r="D51" s="131">
        <v>0</v>
      </c>
      <c r="E51" s="81">
        <f t="shared" si="5"/>
        <v>0</v>
      </c>
      <c r="F51" s="81">
        <f>F50+D51</f>
        <v>0</v>
      </c>
      <c r="G51" s="133">
        <v>10836</v>
      </c>
      <c r="H51" s="126">
        <v>3143</v>
      </c>
      <c r="I51" s="25">
        <f t="shared" si="7"/>
        <v>454692</v>
      </c>
      <c r="J51" s="25">
        <f t="shared" si="8"/>
        <v>1381807</v>
      </c>
      <c r="K51" s="26">
        <f>C51+D51</f>
        <v>0</v>
      </c>
      <c r="L51" s="25">
        <f t="shared" si="10"/>
        <v>13979</v>
      </c>
      <c r="M51" s="25">
        <f t="shared" si="11"/>
        <v>0</v>
      </c>
      <c r="N51" s="57">
        <f t="shared" si="12"/>
        <v>1836499</v>
      </c>
    </row>
    <row r="52" spans="1:14" ht="15">
      <c r="A52" s="3">
        <f t="shared" si="13"/>
        <v>45</v>
      </c>
      <c r="B52" s="130">
        <v>42069</v>
      </c>
      <c r="C52" s="131">
        <v>0</v>
      </c>
      <c r="D52" s="131">
        <v>0</v>
      </c>
      <c r="E52" s="81">
        <f t="shared" si="5"/>
        <v>0</v>
      </c>
      <c r="F52" s="81">
        <f t="shared" si="14"/>
        <v>0</v>
      </c>
      <c r="G52" s="133">
        <v>10947</v>
      </c>
      <c r="H52" s="126">
        <v>3432</v>
      </c>
      <c r="I52" s="25">
        <f t="shared" si="7"/>
        <v>465639</v>
      </c>
      <c r="J52" s="25">
        <f t="shared" si="8"/>
        <v>1385239</v>
      </c>
      <c r="K52" s="26">
        <f t="shared" si="9"/>
        <v>0</v>
      </c>
      <c r="L52" s="25">
        <f t="shared" si="10"/>
        <v>14379</v>
      </c>
      <c r="M52" s="25">
        <f t="shared" si="11"/>
        <v>0</v>
      </c>
      <c r="N52" s="57">
        <f t="shared" si="12"/>
        <v>1850878</v>
      </c>
    </row>
    <row r="53" spans="1:14" ht="15">
      <c r="A53" s="3">
        <f t="shared" si="13"/>
        <v>46</v>
      </c>
      <c r="B53" s="130">
        <v>42076</v>
      </c>
      <c r="C53" s="131">
        <v>0</v>
      </c>
      <c r="D53" s="131">
        <v>0</v>
      </c>
      <c r="E53" s="81">
        <f t="shared" si="5"/>
        <v>0</v>
      </c>
      <c r="F53" s="81">
        <f t="shared" si="14"/>
        <v>0</v>
      </c>
      <c r="G53" s="133">
        <v>9604</v>
      </c>
      <c r="H53" s="126">
        <v>2623</v>
      </c>
      <c r="I53" s="25">
        <f t="shared" si="7"/>
        <v>475243</v>
      </c>
      <c r="J53" s="25">
        <f t="shared" si="8"/>
        <v>1387862</v>
      </c>
      <c r="K53" s="26">
        <f t="shared" si="9"/>
        <v>0</v>
      </c>
      <c r="L53" s="25">
        <f t="shared" si="10"/>
        <v>12227</v>
      </c>
      <c r="M53" s="25">
        <f t="shared" si="11"/>
        <v>0</v>
      </c>
      <c r="N53" s="57">
        <f t="shared" si="12"/>
        <v>1863105</v>
      </c>
    </row>
    <row r="54" spans="1:14" ht="15">
      <c r="A54" s="3">
        <f t="shared" si="13"/>
        <v>47</v>
      </c>
      <c r="B54" s="130">
        <v>42083</v>
      </c>
      <c r="C54" s="131">
        <v>0</v>
      </c>
      <c r="D54" s="131">
        <v>0</v>
      </c>
      <c r="E54" s="81">
        <f t="shared" si="5"/>
        <v>0</v>
      </c>
      <c r="F54" s="81">
        <f t="shared" si="14"/>
        <v>0</v>
      </c>
      <c r="G54" s="133">
        <v>11566</v>
      </c>
      <c r="H54" s="126">
        <v>3058</v>
      </c>
      <c r="I54" s="25">
        <f t="shared" si="7"/>
        <v>486809</v>
      </c>
      <c r="J54" s="25">
        <f t="shared" si="8"/>
        <v>1390920</v>
      </c>
      <c r="K54" s="26">
        <f t="shared" si="9"/>
        <v>0</v>
      </c>
      <c r="L54" s="25">
        <f t="shared" si="10"/>
        <v>14624</v>
      </c>
      <c r="M54" s="25">
        <f t="shared" si="11"/>
        <v>0</v>
      </c>
      <c r="N54" s="57">
        <f t="shared" si="12"/>
        <v>1877729</v>
      </c>
    </row>
    <row r="55" spans="1:14" ht="15">
      <c r="A55" s="3">
        <f t="shared" si="13"/>
        <v>48</v>
      </c>
      <c r="B55" s="130">
        <v>42090</v>
      </c>
      <c r="C55" s="131">
        <v>0</v>
      </c>
      <c r="D55" s="131">
        <v>0</v>
      </c>
      <c r="E55" s="81">
        <f t="shared" si="5"/>
        <v>0</v>
      </c>
      <c r="F55" s="81">
        <f t="shared" si="14"/>
        <v>0</v>
      </c>
      <c r="G55" s="133">
        <v>13195</v>
      </c>
      <c r="H55" s="126">
        <v>3198</v>
      </c>
      <c r="I55" s="25">
        <f t="shared" si="7"/>
        <v>500004</v>
      </c>
      <c r="J55" s="25">
        <f t="shared" si="8"/>
        <v>1394118</v>
      </c>
      <c r="K55" s="26">
        <f t="shared" si="9"/>
        <v>0</v>
      </c>
      <c r="L55" s="25">
        <f t="shared" si="10"/>
        <v>16393</v>
      </c>
      <c r="M55" s="25">
        <f t="shared" si="11"/>
        <v>0</v>
      </c>
      <c r="N55" s="57">
        <f t="shared" si="12"/>
        <v>1894122</v>
      </c>
    </row>
    <row r="56" spans="1:14" ht="15">
      <c r="A56" s="3">
        <f t="shared" si="13"/>
        <v>49</v>
      </c>
      <c r="B56" s="130">
        <v>42097</v>
      </c>
      <c r="C56" s="131">
        <v>0</v>
      </c>
      <c r="D56" s="131">
        <v>21137</v>
      </c>
      <c r="E56" s="81">
        <f t="shared" si="5"/>
        <v>0</v>
      </c>
      <c r="F56" s="81">
        <f t="shared" si="14"/>
        <v>21137</v>
      </c>
      <c r="G56" s="133">
        <v>6411</v>
      </c>
      <c r="H56" s="126">
        <v>1253</v>
      </c>
      <c r="I56" s="25">
        <f t="shared" si="7"/>
        <v>506415</v>
      </c>
      <c r="J56" s="25">
        <f t="shared" si="8"/>
        <v>1395371</v>
      </c>
      <c r="K56" s="26">
        <f t="shared" si="9"/>
        <v>21137</v>
      </c>
      <c r="L56" s="25">
        <f t="shared" si="10"/>
        <v>7664</v>
      </c>
      <c r="M56" s="25">
        <f t="shared" si="11"/>
        <v>21137</v>
      </c>
      <c r="N56" s="57">
        <f t="shared" si="12"/>
        <v>1901786</v>
      </c>
    </row>
    <row r="57" spans="1:14" ht="15">
      <c r="A57" s="3">
        <f t="shared" si="13"/>
        <v>50</v>
      </c>
      <c r="B57" s="130">
        <v>42104</v>
      </c>
      <c r="C57" s="131">
        <v>0</v>
      </c>
      <c r="D57" s="131">
        <v>44113</v>
      </c>
      <c r="E57" s="81">
        <f t="shared" si="5"/>
        <v>0</v>
      </c>
      <c r="F57" s="81">
        <f t="shared" si="14"/>
        <v>65250</v>
      </c>
      <c r="G57" s="133">
        <v>9864</v>
      </c>
      <c r="H57" s="126">
        <v>1188</v>
      </c>
      <c r="I57" s="25">
        <f t="shared" si="7"/>
        <v>516279</v>
      </c>
      <c r="J57" s="25">
        <f t="shared" si="8"/>
        <v>1396559</v>
      </c>
      <c r="K57" s="26">
        <f t="shared" si="9"/>
        <v>44113</v>
      </c>
      <c r="L57" s="25">
        <f t="shared" si="10"/>
        <v>11052</v>
      </c>
      <c r="M57" s="25">
        <f t="shared" si="11"/>
        <v>65250</v>
      </c>
      <c r="N57" s="57">
        <f t="shared" si="12"/>
        <v>1912838</v>
      </c>
    </row>
    <row r="58" spans="1:14" ht="15">
      <c r="A58" s="3">
        <f t="shared" si="13"/>
        <v>51</v>
      </c>
      <c r="B58" s="130">
        <v>42111</v>
      </c>
      <c r="C58" s="131">
        <v>0</v>
      </c>
      <c r="D58" s="131">
        <v>0</v>
      </c>
      <c r="E58" s="81">
        <f t="shared" si="5"/>
        <v>0</v>
      </c>
      <c r="F58" s="81">
        <f t="shared" si="14"/>
        <v>65250</v>
      </c>
      <c r="G58" s="133">
        <v>10713</v>
      </c>
      <c r="H58" s="126">
        <v>2958</v>
      </c>
      <c r="I58" s="25">
        <f t="shared" si="7"/>
        <v>526992</v>
      </c>
      <c r="J58" s="25">
        <f t="shared" si="8"/>
        <v>1399517</v>
      </c>
      <c r="K58" s="26">
        <f t="shared" si="9"/>
        <v>0</v>
      </c>
      <c r="L58" s="25">
        <f t="shared" si="10"/>
        <v>13671</v>
      </c>
      <c r="M58" s="25">
        <f t="shared" si="11"/>
        <v>65250</v>
      </c>
      <c r="N58" s="57">
        <f t="shared" si="12"/>
        <v>1926509</v>
      </c>
    </row>
    <row r="59" spans="1:14" ht="15.75" thickBot="1">
      <c r="A59" s="3">
        <f t="shared" si="13"/>
        <v>52</v>
      </c>
      <c r="B59" s="130">
        <v>42118</v>
      </c>
      <c r="C59" s="131">
        <v>0</v>
      </c>
      <c r="D59" s="131">
        <v>0</v>
      </c>
      <c r="E59" s="79">
        <f t="shared" si="5"/>
        <v>0</v>
      </c>
      <c r="F59" s="79">
        <f>F58+D59</f>
        <v>65250</v>
      </c>
      <c r="G59" s="126">
        <v>9022</v>
      </c>
      <c r="H59" s="126">
        <v>3752</v>
      </c>
      <c r="I59" s="60">
        <f t="shared" si="7"/>
        <v>536014</v>
      </c>
      <c r="J59" s="60">
        <f t="shared" si="8"/>
        <v>1403269</v>
      </c>
      <c r="K59" s="58">
        <f t="shared" si="9"/>
        <v>0</v>
      </c>
      <c r="L59" s="60">
        <f t="shared" si="10"/>
        <v>12774</v>
      </c>
      <c r="M59" s="60">
        <f t="shared" si="11"/>
        <v>65250</v>
      </c>
      <c r="N59" s="59">
        <f t="shared" si="12"/>
        <v>1939283</v>
      </c>
    </row>
    <row r="60" spans="2:14" ht="12.75">
      <c r="B60" s="53"/>
      <c r="E60" s="82"/>
      <c r="F60" s="82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7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33.7109375" style="89" customWidth="1"/>
    <col min="2" max="2" width="14.57421875" style="89" customWidth="1"/>
    <col min="3" max="3" width="9.140625" style="89" customWidth="1"/>
    <col min="4" max="4" width="24.140625" style="89" customWidth="1"/>
    <col min="5" max="5" width="11.57421875" style="89" customWidth="1"/>
    <col min="6" max="6" width="10.28125" style="89" bestFit="1" customWidth="1"/>
    <col min="7" max="16384" width="9.140625" style="89" customWidth="1"/>
  </cols>
  <sheetData>
    <row r="1" ht="15.75">
      <c r="A1" s="88" t="s">
        <v>0</v>
      </c>
    </row>
    <row r="2" ht="15.75">
      <c r="A2" s="88" t="s">
        <v>1</v>
      </c>
    </row>
    <row r="4" spans="1:2" ht="15">
      <c r="A4" s="90" t="s">
        <v>125</v>
      </c>
      <c r="B4" s="136">
        <f>'Weekliks-Weekly'!B59</f>
        <v>42118</v>
      </c>
    </row>
    <row r="5" spans="1:2" ht="15">
      <c r="A5" s="90" t="s">
        <v>124</v>
      </c>
      <c r="B5" s="91">
        <f>B4</f>
        <v>42118</v>
      </c>
    </row>
    <row r="6" ht="15.75">
      <c r="D6" s="88"/>
    </row>
    <row r="7" spans="1:5" ht="15.75">
      <c r="A7" s="88" t="s">
        <v>2</v>
      </c>
      <c r="B7" s="88" t="s">
        <v>3</v>
      </c>
      <c r="E7" s="92"/>
    </row>
    <row r="8" spans="1:6" ht="15.75">
      <c r="A8" s="96" t="s">
        <v>75</v>
      </c>
      <c r="B8" s="126"/>
      <c r="E8" s="93"/>
      <c r="F8" s="93"/>
    </row>
    <row r="9" spans="1:6" ht="15.75">
      <c r="A9" s="96" t="s">
        <v>76</v>
      </c>
      <c r="B9" s="126"/>
      <c r="E9" s="93"/>
      <c r="F9" s="93"/>
    </row>
    <row r="10" spans="1:6" ht="15.75">
      <c r="A10" s="96" t="s">
        <v>5</v>
      </c>
      <c r="B10" s="126"/>
      <c r="E10" s="93"/>
      <c r="F10" s="93"/>
    </row>
    <row r="11" spans="1:6" ht="15.75">
      <c r="A11" s="94" t="s">
        <v>6</v>
      </c>
      <c r="B11" s="105">
        <f>SUM(B8:B10)</f>
        <v>0</v>
      </c>
      <c r="C11" s="89">
        <f>'Weekliks-Weekly'!E59</f>
        <v>0</v>
      </c>
      <c r="D11" s="94" t="s">
        <v>68</v>
      </c>
      <c r="E11" s="95">
        <f>B20/(52-'Export destin -Uitvoer bestem.'!D6)</f>
        <v>1254.8076923076924</v>
      </c>
      <c r="F11" s="93"/>
    </row>
    <row r="12" spans="2:6" ht="15">
      <c r="B12" s="92">
        <f>C11-B11</f>
        <v>0</v>
      </c>
      <c r="D12" s="96" t="s">
        <v>69</v>
      </c>
      <c r="E12" s="97">
        <f>'Export destin -Uitvoer bestem.'!D6</f>
        <v>0</v>
      </c>
      <c r="F12" s="93"/>
    </row>
    <row r="13" spans="1:6" ht="15.75">
      <c r="A13" s="88" t="s">
        <v>7</v>
      </c>
      <c r="B13" s="89" t="s">
        <v>3</v>
      </c>
      <c r="D13" s="96" t="s">
        <v>70</v>
      </c>
      <c r="E13" s="97">
        <f>(E11*E12)+B20</f>
        <v>65250</v>
      </c>
      <c r="F13" s="93"/>
    </row>
    <row r="14" spans="1:6" ht="15.75">
      <c r="A14" s="96" t="s">
        <v>8</v>
      </c>
      <c r="B14" s="127">
        <f>44113+21137</f>
        <v>65250</v>
      </c>
      <c r="E14" s="93"/>
      <c r="F14" s="93"/>
    </row>
    <row r="15" spans="1:6" ht="15.75">
      <c r="A15" s="96" t="s">
        <v>84</v>
      </c>
      <c r="B15" s="127"/>
      <c r="E15" s="93"/>
      <c r="F15" s="93"/>
    </row>
    <row r="16" spans="1:6" ht="15.75">
      <c r="A16" s="96" t="s">
        <v>100</v>
      </c>
      <c r="B16" s="127"/>
      <c r="E16" s="93"/>
      <c r="F16" s="93"/>
    </row>
    <row r="17" spans="1:6" ht="15.75">
      <c r="A17" s="96" t="s">
        <v>4</v>
      </c>
      <c r="B17" s="127"/>
      <c r="E17" s="93"/>
      <c r="F17" s="93"/>
    </row>
    <row r="18" spans="1:6" ht="15.75">
      <c r="A18" s="96" t="s">
        <v>101</v>
      </c>
      <c r="B18" s="127"/>
      <c r="E18" s="93"/>
      <c r="F18" s="93"/>
    </row>
    <row r="19" spans="1:6" ht="15.75">
      <c r="A19" s="96" t="s">
        <v>71</v>
      </c>
      <c r="B19" s="127"/>
      <c r="E19" s="93"/>
      <c r="F19" s="93"/>
    </row>
    <row r="20" spans="1:6" ht="15.75">
      <c r="A20" s="94" t="s">
        <v>6</v>
      </c>
      <c r="B20" s="105">
        <f>SUM(B14:B19)</f>
        <v>65250</v>
      </c>
      <c r="C20" s="89">
        <f>'Weekliks-Weekly'!F59</f>
        <v>65250</v>
      </c>
      <c r="E20" s="93"/>
      <c r="F20" s="93"/>
    </row>
    <row r="21" spans="2:6" ht="15">
      <c r="B21" s="92">
        <f>C20-B20</f>
        <v>0</v>
      </c>
      <c r="E21" s="93"/>
      <c r="F21" s="93"/>
    </row>
    <row r="22" spans="1:6" ht="15.75">
      <c r="A22" s="94" t="s">
        <v>9</v>
      </c>
      <c r="B22" s="105">
        <f>B11+B20</f>
        <v>65250</v>
      </c>
      <c r="D22" s="92"/>
      <c r="E22" s="93"/>
      <c r="F22" s="93"/>
    </row>
    <row r="23" spans="5:6" ht="15">
      <c r="E23" s="93"/>
      <c r="F23" s="93"/>
    </row>
    <row r="24" spans="5:6" ht="15">
      <c r="E24" s="93"/>
      <c r="F24" s="93"/>
    </row>
    <row r="25" spans="5:6" ht="15">
      <c r="E25" s="93"/>
      <c r="F25" s="93"/>
    </row>
    <row r="26" spans="5:6" ht="15">
      <c r="E26" s="93"/>
      <c r="F26" s="9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Funzani Sundani</cp:lastModifiedBy>
  <cp:lastPrinted>2015-04-29T10:37:44Z</cp:lastPrinted>
  <dcterms:created xsi:type="dcterms:W3CDTF">2005-05-06T06:48:19Z</dcterms:created>
  <dcterms:modified xsi:type="dcterms:W3CDTF">2015-04-29T10:38:01Z</dcterms:modified>
  <cp:category/>
  <cp:version/>
  <cp:contentType/>
  <cp:contentStatus/>
</cp:coreProperties>
</file>