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tabRatio="955" activeTab="7"/>
  </bookViews>
  <sheets>
    <sheet name="Invoere 3jr vgl" sheetId="1" r:id="rId1"/>
    <sheet name="Weeklikse invoere" sheetId="2" r:id="rId2"/>
    <sheet name="Invoere 2014_15" sheetId="3" r:id="rId3"/>
    <sheet name="Uitvoere 2014_15" sheetId="4" r:id="rId4"/>
    <sheet name="In en uitvoere 2014_15" sheetId="5" r:id="rId5"/>
    <sheet name="Data 2013_14" sheetId="6" r:id="rId6"/>
    <sheet name="Data 2014_15" sheetId="7" r:id="rId7"/>
    <sheet name="Land-Country data" sheetId="8" r:id="rId8"/>
  </sheets>
  <definedNames>
    <definedName name="_xlnm.Print_Area" localSheetId="5">'Data 2013_14'!$A$1:$H$61</definedName>
    <definedName name="_xlnm.Print_Area" localSheetId="6">'Data 2014_15'!$A$1:$H$61</definedName>
  </definedNames>
  <calcPr fullCalcOnLoad="1"/>
</workbook>
</file>

<file path=xl/sharedStrings.xml><?xml version="1.0" encoding="utf-8"?>
<sst xmlns="http://schemas.openxmlformats.org/spreadsheetml/2006/main" count="248" uniqueCount="190">
  <si>
    <t xml:space="preserve"> </t>
  </si>
  <si>
    <t>ton</t>
  </si>
  <si>
    <t>Net</t>
  </si>
  <si>
    <t>Totaal Invoere/Total Imports</t>
  </si>
  <si>
    <t>USA</t>
  </si>
  <si>
    <t>Argentina</t>
  </si>
  <si>
    <t>Australia</t>
  </si>
  <si>
    <t>UK</t>
  </si>
  <si>
    <t>Germany</t>
  </si>
  <si>
    <t>Totaal Uitvoere/Total Exports</t>
  </si>
  <si>
    <t>Botswana</t>
  </si>
  <si>
    <t>Lesotho</t>
  </si>
  <si>
    <t>Swaziland</t>
  </si>
  <si>
    <t>Zambia</t>
  </si>
  <si>
    <t>Zimbabwe</t>
  </si>
  <si>
    <t>Namibia</t>
  </si>
  <si>
    <t>Week einde</t>
  </si>
  <si>
    <t>2003/2004</t>
  </si>
  <si>
    <t>* 2003</t>
  </si>
  <si>
    <t>France</t>
  </si>
  <si>
    <t>2004/2005</t>
  </si>
  <si>
    <t>Week</t>
  </si>
  <si>
    <t>Canada</t>
  </si>
  <si>
    <t>2005/2006</t>
  </si>
  <si>
    <t>Ukraine</t>
  </si>
  <si>
    <t xml:space="preserve">  2004/2005</t>
  </si>
  <si>
    <t xml:space="preserve">  2005/2006</t>
  </si>
  <si>
    <t>Vanaf/From 4 Okt/Oct 2003 - 1 Okt/Oct 2004</t>
  </si>
  <si>
    <t>Vanaf/From 1 Okt/Oct 2005 - 30 Sept 2005</t>
  </si>
  <si>
    <t xml:space="preserve">Import from        </t>
  </si>
  <si>
    <t>Invoer vanaf</t>
  </si>
  <si>
    <t xml:space="preserve">  2003/2004  </t>
  </si>
  <si>
    <t>Opdateer/Updated</t>
  </si>
  <si>
    <t xml:space="preserve">Totaal/Total </t>
  </si>
  <si>
    <t xml:space="preserve">Destination </t>
  </si>
  <si>
    <t xml:space="preserve">Bestemming                 Opdateer/Updated tot </t>
  </si>
  <si>
    <t>Invoere/Imports per week</t>
  </si>
  <si>
    <t>Projection/Projeksie</t>
  </si>
  <si>
    <t>Uitvoere/Exports per week</t>
  </si>
  <si>
    <t>Projection/projeksie</t>
  </si>
  <si>
    <t>Oorblywende/Weeks remaining</t>
  </si>
  <si>
    <t>Weke verby/Weeks passed</t>
  </si>
  <si>
    <t>KORING INVOERE EN UITVOERE PER LAND</t>
  </si>
  <si>
    <t>WHEAT IMPORTS AND EXPORTS PER COUNTRY</t>
  </si>
  <si>
    <t>Week ending</t>
  </si>
  <si>
    <t>Invoere/ Imports</t>
  </si>
  <si>
    <t>Datum/Date</t>
  </si>
  <si>
    <t>In - uit/In-Out</t>
  </si>
  <si>
    <t>Progressief/Progressive</t>
  </si>
  <si>
    <t>Uitvoere/exports</t>
  </si>
  <si>
    <t>Gemiddeld per week /Weekly average</t>
  </si>
  <si>
    <t>2006/2007</t>
  </si>
  <si>
    <t>Malawi</t>
  </si>
  <si>
    <t>Mosambiek</t>
  </si>
  <si>
    <t>2007/2008</t>
  </si>
  <si>
    <t>Angola</t>
  </si>
  <si>
    <t xml:space="preserve">* 2003 -        </t>
  </si>
  <si>
    <t xml:space="preserve">Vanaf/From 1 Okt/Oct 2006 - 28 Sept 2007 </t>
  </si>
  <si>
    <t>Vanaf/From 1 Okt/Oct 2005 - 28 Sept 2006</t>
  </si>
  <si>
    <t xml:space="preserve">  2006/2007</t>
  </si>
  <si>
    <t xml:space="preserve">  2007/2008</t>
  </si>
  <si>
    <t>2008/2009</t>
  </si>
  <si>
    <t xml:space="preserve">  2008/2009</t>
  </si>
  <si>
    <t>Vanaf/From 1 Okt/Oct 2007 - 28 Sept 2008</t>
  </si>
  <si>
    <t>Guinea</t>
  </si>
  <si>
    <t>Brazil</t>
  </si>
  <si>
    <t>2009/2010</t>
  </si>
  <si>
    <t>Vanaf/From 3 Okt/Oct 2008 - 2 Okt/Oct 2009</t>
  </si>
  <si>
    <t xml:space="preserve">  2009/2010</t>
  </si>
  <si>
    <t>Vanaf/From 3 Okt/Oct 2009 -</t>
  </si>
  <si>
    <t>Lithuania</t>
  </si>
  <si>
    <t>2010/2011</t>
  </si>
  <si>
    <t>Vanaf/From 8 Okt/Oct 2010 -</t>
  </si>
  <si>
    <t>Uruguay</t>
  </si>
  <si>
    <t>2011/2012</t>
  </si>
  <si>
    <t>Vanaf/From 7 Okt/Oct 2011 -</t>
  </si>
  <si>
    <t>Russia</t>
  </si>
  <si>
    <t>Romania</t>
  </si>
  <si>
    <t>Vanaf/From 9 Aug - 3 Okt/Oct 2003</t>
  </si>
  <si>
    <t>2012/2013</t>
  </si>
  <si>
    <t>Vanaf/From 5 Okt/Oct 2012 -</t>
  </si>
  <si>
    <t>4 Okt 13</t>
  </si>
  <si>
    <t>2013/14</t>
  </si>
  <si>
    <t>2013/2014</t>
  </si>
  <si>
    <t>SAGIS: WEEKLIKSE INVOERE EN UITVOERE - KORING 2013/14</t>
  </si>
  <si>
    <t>SAGIS: WEEKLY IMPORTS AND EXPORTS - WHEAT 2013/14</t>
  </si>
  <si>
    <t>11 Okt 13</t>
  </si>
  <si>
    <t>18 Okt 13</t>
  </si>
  <si>
    <t>25 Okt 13</t>
  </si>
  <si>
    <t>01 Nov 13</t>
  </si>
  <si>
    <t>08 Nov 13</t>
  </si>
  <si>
    <t>15 Nov 13</t>
  </si>
  <si>
    <t>22 Nov 13</t>
  </si>
  <si>
    <t>29 Nov 13</t>
  </si>
  <si>
    <t>Vanaf/From 28 Sep/Sep 2013 -              29-Nov-13</t>
  </si>
  <si>
    <t>06 Dec 13</t>
  </si>
  <si>
    <t>13 Dec 13</t>
  </si>
  <si>
    <t>20 Dec 13</t>
  </si>
  <si>
    <t>27 Dec 13</t>
  </si>
  <si>
    <t>03 Jan 14</t>
  </si>
  <si>
    <t>10 Jan 14</t>
  </si>
  <si>
    <t>17 Jan 14</t>
  </si>
  <si>
    <t>24 Jan 14</t>
  </si>
  <si>
    <t>31 Jan 14</t>
  </si>
  <si>
    <t>07 Feb 14</t>
  </si>
  <si>
    <t>14 Feb 14</t>
  </si>
  <si>
    <t>Finland</t>
  </si>
  <si>
    <t>21 Feb 14</t>
  </si>
  <si>
    <t>28 Feb 14</t>
  </si>
  <si>
    <t>07 Mar 14</t>
  </si>
  <si>
    <t>14 Mar 14</t>
  </si>
  <si>
    <t>21 Mar 14</t>
  </si>
  <si>
    <t>28 Mar 14</t>
  </si>
  <si>
    <t>04 Apr 14</t>
  </si>
  <si>
    <t>Latvia</t>
  </si>
  <si>
    <t>11 Apr 14</t>
  </si>
  <si>
    <t>18 Apr 14</t>
  </si>
  <si>
    <t>25 Apr 14</t>
  </si>
  <si>
    <t>02 May 14</t>
  </si>
  <si>
    <t>09 May 14</t>
  </si>
  <si>
    <t>16 May 14</t>
  </si>
  <si>
    <t>23 May 14</t>
  </si>
  <si>
    <t>30 May 14</t>
  </si>
  <si>
    <t>06 Jun 14</t>
  </si>
  <si>
    <t>13 Jun 14</t>
  </si>
  <si>
    <t>20 Jun 14</t>
  </si>
  <si>
    <t>27 Jun 14</t>
  </si>
  <si>
    <t>04 Jul 14</t>
  </si>
  <si>
    <t>11 Jul 14</t>
  </si>
  <si>
    <t>18 Jul 14</t>
  </si>
  <si>
    <t>25 Jul 14</t>
  </si>
  <si>
    <t>01 Aug 14</t>
  </si>
  <si>
    <t>08 Aug 14</t>
  </si>
  <si>
    <t>15 Aug 14</t>
  </si>
  <si>
    <t>22 Aug 14</t>
  </si>
  <si>
    <t>29 Aug 14</t>
  </si>
  <si>
    <t>05 Sep 14</t>
  </si>
  <si>
    <t>12 Sep 14</t>
  </si>
  <si>
    <t>19 Sep 14</t>
  </si>
  <si>
    <t>26 Sep 14</t>
  </si>
  <si>
    <t>SAGIS: WEEKLY IMPORTS AND EXPORTS - WHEAT 2014/15</t>
  </si>
  <si>
    <t>SAGIS: WEEKLIKSE INVOERE EN UITVOERE - KORING 2014/15</t>
  </si>
  <si>
    <t>Opgedateer tot / Updated till 27 Sep 2014</t>
  </si>
  <si>
    <t>2014/2015</t>
  </si>
  <si>
    <t>Vanaf/From 27 Sep/Sep 2014 -              03-10-14</t>
  </si>
  <si>
    <t>03-Oct 14</t>
  </si>
  <si>
    <t>10-Oct 14</t>
  </si>
  <si>
    <t>17-Oct 14</t>
  </si>
  <si>
    <t>24-Oct 14</t>
  </si>
  <si>
    <t>Poland</t>
  </si>
  <si>
    <t>31-Oct 14</t>
  </si>
  <si>
    <t>07-Nov 14</t>
  </si>
  <si>
    <t>14-Nov 14</t>
  </si>
  <si>
    <t>21-Nov 14</t>
  </si>
  <si>
    <t>28-Nov 14</t>
  </si>
  <si>
    <t>05-Dec 14</t>
  </si>
  <si>
    <t>12-Dec 14</t>
  </si>
  <si>
    <t>19-Dec 14</t>
  </si>
  <si>
    <t>26-Dec 14</t>
  </si>
  <si>
    <t>02-Jan 15</t>
  </si>
  <si>
    <t>09-Jan 15</t>
  </si>
  <si>
    <t>16-Jan 15</t>
  </si>
  <si>
    <t>23-Jan 15</t>
  </si>
  <si>
    <t>30-Jan 15</t>
  </si>
  <si>
    <t>06-Feb 15</t>
  </si>
  <si>
    <t>13-Feb 15</t>
  </si>
  <si>
    <t>20-Feb 15</t>
  </si>
  <si>
    <t>27-Feb 15</t>
  </si>
  <si>
    <t>06-Mar 15</t>
  </si>
  <si>
    <t>13-Mar 15</t>
  </si>
  <si>
    <t>20-Mar 15</t>
  </si>
  <si>
    <t>27-Mar 15</t>
  </si>
  <si>
    <t>03-Apr 15</t>
  </si>
  <si>
    <t>17-Apr 15</t>
  </si>
  <si>
    <t>10-Apr 15</t>
  </si>
  <si>
    <t>24-Apr 15</t>
  </si>
  <si>
    <t>01-May 15</t>
  </si>
  <si>
    <t>08-May 15</t>
  </si>
  <si>
    <t>15-May 15</t>
  </si>
  <si>
    <t>22-May 15</t>
  </si>
  <si>
    <t>29-May 15</t>
  </si>
  <si>
    <t>05-Jun 15</t>
  </si>
  <si>
    <t>12-Jun 15</t>
  </si>
  <si>
    <t>19-Jun 15</t>
  </si>
  <si>
    <t>Opgedateer tot / Updated till 19 June 2015</t>
  </si>
  <si>
    <t>26-Jun 15</t>
  </si>
  <si>
    <t>03-Jul 15</t>
  </si>
  <si>
    <t>10-Jul 15</t>
  </si>
  <si>
    <t>17-Jul 15</t>
  </si>
  <si>
    <t>Mauritius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</si>
</sst>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_ * #,##0.0_ ;_ * \-#,##0.0_ ;_ * &quot;-&quot;??_ ;_ @_ "/>
    <numFmt numFmtId="174" formatCode="_ * #,##0_ ;_ * \-#,##0_ ;_ * &quot;-&quot;??_ ;_ @_ "/>
    <numFmt numFmtId="175" formatCode="_ * #,##0.000_ ;_ * \-#,##0.000_ ;_ * &quot;-&quot;??_ ;_ @_ "/>
    <numFmt numFmtId="176" formatCode="_ * #,##0.0000_ ;_ * \-#,##0.0000_ ;_ * &quot;-&quot;??_ ;_ @_ "/>
    <numFmt numFmtId="177" formatCode="0_ ;\-0\ "/>
    <numFmt numFmtId="178" formatCode="_ * #\,##0_ ;_ * \-#\,##0_ ;_ * &quot;-&quot;??_ ;_ @_ "/>
    <numFmt numFmtId="179" formatCode="mmm\-yyyy"/>
  </numFmts>
  <fonts count="5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6.3"/>
      <color indexed="8"/>
      <name val="Arial"/>
      <family val="0"/>
    </font>
    <font>
      <sz val="10.5"/>
      <color indexed="8"/>
      <name val="Calibri"/>
      <family val="0"/>
    </font>
    <font>
      <sz val="5.7"/>
      <color indexed="8"/>
      <name val="Arial"/>
      <family val="0"/>
    </font>
    <font>
      <sz val="14"/>
      <color indexed="8"/>
      <name val="Calibri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7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0.5"/>
      <color indexed="8"/>
      <name val="Calibri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74" fontId="0" fillId="0" borderId="10" xfId="42" applyNumberFormat="1" applyFont="1" applyBorder="1" applyAlignment="1">
      <alignment/>
    </xf>
    <xf numFmtId="174" fontId="2" fillId="0" borderId="10" xfId="42" applyNumberFormat="1" applyFont="1" applyBorder="1" applyAlignment="1">
      <alignment/>
    </xf>
    <xf numFmtId="174" fontId="2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4" fontId="0" fillId="0" borderId="0" xfId="42" applyNumberFormat="1" applyFont="1" applyBorder="1" applyAlignment="1">
      <alignment/>
    </xf>
    <xf numFmtId="174" fontId="2" fillId="0" borderId="11" xfId="42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0" fillId="0" borderId="1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5" fontId="0" fillId="0" borderId="0" xfId="0" applyNumberFormat="1" applyFill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7" xfId="0" applyFont="1" applyFill="1" applyBorder="1" applyAlignment="1">
      <alignment/>
    </xf>
    <xf numFmtId="174" fontId="1" fillId="0" borderId="18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174" fontId="0" fillId="0" borderId="18" xfId="42" applyNumberFormat="1" applyFont="1" applyFill="1" applyBorder="1" applyAlignment="1">
      <alignment/>
    </xf>
    <xf numFmtId="174" fontId="0" fillId="0" borderId="20" xfId="0" applyNumberFormat="1" applyFill="1" applyBorder="1" applyAlignment="1">
      <alignment/>
    </xf>
    <xf numFmtId="0" fontId="1" fillId="0" borderId="21" xfId="0" applyFont="1" applyFill="1" applyBorder="1" applyAlignment="1">
      <alignment/>
    </xf>
    <xf numFmtId="174" fontId="0" fillId="0" borderId="20" xfId="42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74" fontId="1" fillId="0" borderId="20" xfId="0" applyNumberFormat="1" applyFont="1" applyFill="1" applyBorder="1" applyAlignment="1">
      <alignment/>
    </xf>
    <xf numFmtId="174" fontId="0" fillId="0" borderId="16" xfId="0" applyNumberFormat="1" applyFill="1" applyBorder="1" applyAlignment="1">
      <alignment/>
    </xf>
    <xf numFmtId="174" fontId="0" fillId="0" borderId="0" xfId="42" applyNumberFormat="1" applyFont="1" applyFill="1" applyAlignment="1">
      <alignment/>
    </xf>
    <xf numFmtId="174" fontId="1" fillId="0" borderId="0" xfId="42" applyNumberFormat="1" applyFont="1" applyFill="1" applyAlignment="1">
      <alignment/>
    </xf>
    <xf numFmtId="174" fontId="0" fillId="0" borderId="0" xfId="0" applyNumberFormat="1" applyFill="1" applyAlignment="1">
      <alignment/>
    </xf>
    <xf numFmtId="0" fontId="0" fillId="0" borderId="21" xfId="0" applyFill="1" applyBorder="1" applyAlignment="1">
      <alignment/>
    </xf>
    <xf numFmtId="0" fontId="0" fillId="0" borderId="15" xfId="0" applyFont="1" applyFill="1" applyBorder="1" applyAlignment="1">
      <alignment/>
    </xf>
    <xf numFmtId="174" fontId="0" fillId="0" borderId="0" xfId="42" applyNumberFormat="1" applyFont="1" applyFill="1" applyBorder="1" applyAlignment="1">
      <alignment/>
    </xf>
    <xf numFmtId="174" fontId="1" fillId="0" borderId="0" xfId="42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14" fontId="1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174" fontId="0" fillId="0" borderId="29" xfId="42" applyNumberFormat="1" applyFont="1" applyFill="1" applyBorder="1" applyAlignment="1">
      <alignment/>
    </xf>
    <xf numFmtId="174" fontId="0" fillId="0" borderId="30" xfId="42" applyNumberFormat="1" applyFont="1" applyFill="1" applyBorder="1" applyAlignment="1">
      <alignment/>
    </xf>
    <xf numFmtId="174" fontId="0" fillId="0" borderId="27" xfId="42" applyNumberFormat="1" applyFont="1" applyFill="1" applyBorder="1" applyAlignment="1">
      <alignment/>
    </xf>
    <xf numFmtId="174" fontId="0" fillId="0" borderId="28" xfId="42" applyNumberFormat="1" applyFont="1" applyFill="1" applyBorder="1" applyAlignment="1">
      <alignment/>
    </xf>
    <xf numFmtId="174" fontId="0" fillId="0" borderId="31" xfId="42" applyNumberFormat="1" applyFont="1" applyFill="1" applyBorder="1" applyAlignment="1">
      <alignment/>
    </xf>
    <xf numFmtId="174" fontId="0" fillId="0" borderId="32" xfId="42" applyNumberFormat="1" applyFont="1" applyFill="1" applyBorder="1" applyAlignment="1">
      <alignment/>
    </xf>
    <xf numFmtId="174" fontId="0" fillId="0" borderId="33" xfId="42" applyNumberFormat="1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35" xfId="0" applyFill="1" applyBorder="1" applyAlignment="1">
      <alignment/>
    </xf>
    <xf numFmtId="174" fontId="0" fillId="0" borderId="36" xfId="42" applyNumberFormat="1" applyFont="1" applyFill="1" applyBorder="1" applyAlignment="1">
      <alignment/>
    </xf>
    <xf numFmtId="174" fontId="0" fillId="0" borderId="35" xfId="42" applyNumberFormat="1" applyFont="1" applyFill="1" applyBorder="1" applyAlignment="1">
      <alignment/>
    </xf>
    <xf numFmtId="174" fontId="0" fillId="0" borderId="37" xfId="42" applyNumberFormat="1" applyFont="1" applyFill="1" applyBorder="1" applyAlignment="1">
      <alignment/>
    </xf>
    <xf numFmtId="174" fontId="0" fillId="0" borderId="38" xfId="42" applyNumberFormat="1" applyFont="1" applyFill="1" applyBorder="1" applyAlignment="1">
      <alignment/>
    </xf>
    <xf numFmtId="174" fontId="1" fillId="0" borderId="23" xfId="42" applyNumberFormat="1" applyFont="1" applyFill="1" applyBorder="1" applyAlignment="1">
      <alignment/>
    </xf>
    <xf numFmtId="174" fontId="1" fillId="0" borderId="17" xfId="42" applyNumberFormat="1" applyFont="1" applyFill="1" applyBorder="1" applyAlignment="1">
      <alignment/>
    </xf>
    <xf numFmtId="174" fontId="1" fillId="0" borderId="39" xfId="42" applyNumberFormat="1" applyFont="1" applyFill="1" applyBorder="1" applyAlignment="1">
      <alignment/>
    </xf>
    <xf numFmtId="174" fontId="1" fillId="0" borderId="40" xfId="42" applyNumberFormat="1" applyFont="1" applyFill="1" applyBorder="1" applyAlignment="1">
      <alignment/>
    </xf>
    <xf numFmtId="174" fontId="1" fillId="0" borderId="41" xfId="42" applyNumberFormat="1" applyFont="1" applyFill="1" applyBorder="1" applyAlignment="1">
      <alignment/>
    </xf>
    <xf numFmtId="174" fontId="1" fillId="0" borderId="24" xfId="42" applyNumberFormat="1" applyFont="1" applyFill="1" applyBorder="1" applyAlignment="1">
      <alignment/>
    </xf>
    <xf numFmtId="174" fontId="1" fillId="0" borderId="42" xfId="42" applyNumberFormat="1" applyFont="1" applyFill="1" applyBorder="1" applyAlignment="1">
      <alignment/>
    </xf>
    <xf numFmtId="174" fontId="0" fillId="0" borderId="28" xfId="42" applyNumberFormat="1" applyFont="1" applyFill="1" applyBorder="1" applyAlignment="1">
      <alignment horizontal="right"/>
    </xf>
    <xf numFmtId="174" fontId="0" fillId="0" borderId="28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174" fontId="0" fillId="0" borderId="32" xfId="0" applyNumberFormat="1" applyFill="1" applyBorder="1" applyAlignment="1">
      <alignment/>
    </xf>
    <xf numFmtId="0" fontId="3" fillId="0" borderId="4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174" fontId="2" fillId="0" borderId="43" xfId="42" applyNumberFormat="1" applyFont="1" applyBorder="1" applyAlignment="1">
      <alignment/>
    </xf>
    <xf numFmtId="174" fontId="0" fillId="0" borderId="43" xfId="42" applyNumberFormat="1" applyFont="1" applyBorder="1" applyAlignment="1">
      <alignment/>
    </xf>
    <xf numFmtId="0" fontId="0" fillId="0" borderId="0" xfId="0" applyFont="1" applyFill="1" applyAlignment="1">
      <alignment/>
    </xf>
    <xf numFmtId="49" fontId="0" fillId="0" borderId="43" xfId="0" applyNumberFormat="1" applyFont="1" applyBorder="1" applyAlignment="1">
      <alignment/>
    </xf>
    <xf numFmtId="0" fontId="0" fillId="0" borderId="0" xfId="0" applyFont="1" applyFill="1" applyAlignment="1">
      <alignment horizontal="left"/>
    </xf>
    <xf numFmtId="174" fontId="1" fillId="0" borderId="44" xfId="42" applyNumberFormat="1" applyFont="1" applyFill="1" applyBorder="1" applyAlignment="1">
      <alignment/>
    </xf>
    <xf numFmtId="15" fontId="0" fillId="0" borderId="0" xfId="0" applyNumberFormat="1" applyFont="1" applyFill="1" applyAlignment="1">
      <alignment horizontal="left"/>
    </xf>
    <xf numFmtId="177" fontId="0" fillId="0" borderId="10" xfId="42" applyNumberFormat="1" applyFont="1" applyBorder="1" applyAlignment="1">
      <alignment/>
    </xf>
    <xf numFmtId="1" fontId="0" fillId="0" borderId="28" xfId="0" applyNumberForma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174" fontId="0" fillId="0" borderId="33" xfId="42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174" fontId="0" fillId="0" borderId="30" xfId="0" applyNumberFormat="1" applyFont="1" applyFill="1" applyBorder="1" applyAlignment="1">
      <alignment/>
    </xf>
    <xf numFmtId="174" fontId="0" fillId="0" borderId="28" xfId="0" applyNumberFormat="1" applyFont="1" applyFill="1" applyBorder="1" applyAlignment="1">
      <alignment/>
    </xf>
    <xf numFmtId="174" fontId="0" fillId="0" borderId="32" xfId="0" applyNumberFormat="1" applyFont="1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174" fontId="0" fillId="0" borderId="45" xfId="42" applyNumberFormat="1" applyFont="1" applyFill="1" applyBorder="1" applyAlignment="1">
      <alignment/>
    </xf>
    <xf numFmtId="174" fontId="0" fillId="0" borderId="46" xfId="42" applyNumberFormat="1" applyFont="1" applyFill="1" applyBorder="1" applyAlignment="1">
      <alignment/>
    </xf>
    <xf numFmtId="174" fontId="0" fillId="0" borderId="47" xfId="42" applyNumberFormat="1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174" fontId="0" fillId="0" borderId="25" xfId="42" applyNumberFormat="1" applyFont="1" applyFill="1" applyBorder="1" applyAlignment="1">
      <alignment/>
    </xf>
    <xf numFmtId="174" fontId="0" fillId="0" borderId="26" xfId="42" applyNumberFormat="1" applyFont="1" applyFill="1" applyBorder="1" applyAlignment="1">
      <alignment/>
    </xf>
    <xf numFmtId="174" fontId="0" fillId="0" borderId="34" xfId="42" applyNumberFormat="1" applyFont="1" applyFill="1" applyBorder="1" applyAlignment="1">
      <alignment/>
    </xf>
    <xf numFmtId="174" fontId="0" fillId="0" borderId="51" xfId="42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174" fontId="2" fillId="0" borderId="52" xfId="42" applyNumberFormat="1" applyFont="1" applyBorder="1" applyAlignment="1">
      <alignment/>
    </xf>
    <xf numFmtId="174" fontId="2" fillId="0" borderId="50" xfId="42" applyNumberFormat="1" applyFont="1" applyBorder="1" applyAlignment="1">
      <alignment/>
    </xf>
    <xf numFmtId="174" fontId="2" fillId="0" borderId="49" xfId="42" applyNumberFormat="1" applyFont="1" applyBorder="1" applyAlignment="1">
      <alignment/>
    </xf>
    <xf numFmtId="0" fontId="0" fillId="0" borderId="44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54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14" fontId="1" fillId="0" borderId="44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South African Wheat Imports /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Suid-Afrikaanse Koring Invoere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7875"/>
          <c:w val="0.977"/>
          <c:h val="0.7745"/>
        </c:manualLayout>
      </c:layout>
      <c:barChart>
        <c:barDir val="bar"/>
        <c:grouping val="clustered"/>
        <c:varyColors val="0"/>
        <c:ser>
          <c:idx val="6"/>
          <c:order val="0"/>
          <c:tx>
            <c:strRef>
              <c:f>'Land-Country data'!$L$21</c:f>
              <c:strCache>
                <c:ptCount val="1"/>
                <c:pt idx="0">
                  <c:v>2012/2013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data'!$A$22:$A$39</c:f>
              <c:strCache>
                <c:ptCount val="18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Romania</c:v>
                </c:pt>
              </c:strCache>
            </c:strRef>
          </c:cat>
          <c:val>
            <c:numRef>
              <c:f>'Land-Country data'!$L$22:$L$39</c:f>
              <c:numCache>
                <c:ptCount val="18"/>
                <c:pt idx="0">
                  <c:v>288</c:v>
                </c:pt>
                <c:pt idx="1">
                  <c:v>384</c:v>
                </c:pt>
                <c:pt idx="2">
                  <c:v>42572</c:v>
                </c:pt>
                <c:pt idx="3">
                  <c:v>48583</c:v>
                </c:pt>
                <c:pt idx="4">
                  <c:v>95476</c:v>
                </c:pt>
                <c:pt idx="5">
                  <c:v>215900</c:v>
                </c:pt>
                <c:pt idx="6">
                  <c:v>99033</c:v>
                </c:pt>
                <c:pt idx="7">
                  <c:v>98029</c:v>
                </c:pt>
                <c:pt idx="8">
                  <c:v>189925</c:v>
                </c:pt>
                <c:pt idx="9">
                  <c:v>341976</c:v>
                </c:pt>
                <c:pt idx="10">
                  <c:v>234733</c:v>
                </c:pt>
              </c:numCache>
            </c:numRef>
          </c:val>
        </c:ser>
        <c:ser>
          <c:idx val="7"/>
          <c:order val="1"/>
          <c:tx>
            <c:strRef>
              <c:f>'Land-Country data'!$M$21</c:f>
              <c:strCache>
                <c:ptCount val="1"/>
                <c:pt idx="0">
                  <c:v>2013/2014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data'!$A$22:$A$39</c:f>
              <c:strCache>
                <c:ptCount val="18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Romania</c:v>
                </c:pt>
              </c:strCache>
            </c:strRef>
          </c:cat>
          <c:val>
            <c:numRef>
              <c:f>'Land-Country data'!$M$22:$M$39</c:f>
              <c:numCache>
                <c:ptCount val="18"/>
                <c:pt idx="2">
                  <c:v>59769</c:v>
                </c:pt>
                <c:pt idx="3">
                  <c:v>113093</c:v>
                </c:pt>
                <c:pt idx="4">
                  <c:v>178139</c:v>
                </c:pt>
                <c:pt idx="5">
                  <c:v>794609</c:v>
                </c:pt>
                <c:pt idx="8">
                  <c:v>50595</c:v>
                </c:pt>
                <c:pt idx="9">
                  <c:v>372431</c:v>
                </c:pt>
                <c:pt idx="12">
                  <c:v>25430</c:v>
                </c:pt>
                <c:pt idx="14">
                  <c:v>22014</c:v>
                </c:pt>
                <c:pt idx="15">
                  <c:v>40532</c:v>
                </c:pt>
              </c:numCache>
            </c:numRef>
          </c:val>
        </c:ser>
        <c:ser>
          <c:idx val="11"/>
          <c:order val="2"/>
          <c:tx>
            <c:strRef>
              <c:f>'Land-Country data'!$N$21</c:f>
              <c:strCache>
                <c:ptCount val="1"/>
                <c:pt idx="0">
                  <c:v>2014/2015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data'!$A$22:$A$39</c:f>
              <c:strCache>
                <c:ptCount val="18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Romania</c:v>
                </c:pt>
              </c:strCache>
            </c:strRef>
          </c:cat>
          <c:val>
            <c:numRef>
              <c:f>'Land-Country data'!$N$22:$N$39</c:f>
              <c:numCache>
                <c:ptCount val="18"/>
                <c:pt idx="2">
                  <c:v>21810</c:v>
                </c:pt>
                <c:pt idx="3">
                  <c:v>98877</c:v>
                </c:pt>
                <c:pt idx="4">
                  <c:v>335203</c:v>
                </c:pt>
                <c:pt idx="5">
                  <c:v>431694</c:v>
                </c:pt>
                <c:pt idx="7">
                  <c:v>58987</c:v>
                </c:pt>
                <c:pt idx="8">
                  <c:v>98457</c:v>
                </c:pt>
                <c:pt idx="9">
                  <c:v>257195</c:v>
                </c:pt>
                <c:pt idx="14">
                  <c:v>61005</c:v>
                </c:pt>
                <c:pt idx="15">
                  <c:v>43791</c:v>
                </c:pt>
                <c:pt idx="16">
                  <c:v>91483</c:v>
                </c:pt>
              </c:numCache>
            </c:numRef>
          </c:val>
        </c:ser>
        <c:overlap val="-25"/>
        <c:gapWidth val="75"/>
        <c:axId val="21220921"/>
        <c:axId val="56770562"/>
      </c:barChart>
      <c:catAx>
        <c:axId val="212209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770562"/>
        <c:crosses val="autoZero"/>
        <c:auto val="1"/>
        <c:lblOffset val="100"/>
        <c:tickLblSkip val="1"/>
        <c:noMultiLvlLbl val="0"/>
      </c:catAx>
      <c:valAx>
        <c:axId val="567705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220921"/>
        <c:crossesAt val="1"/>
        <c:crossBetween val="between"/>
        <c:dispUnits/>
        <c:majorUnit val="5000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775"/>
          <c:y val="0.95925"/>
          <c:w val="0.1625"/>
          <c:h val="0.0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Weeklikse koring invoere /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Weekly wheat imports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0225"/>
          <c:w val="0.95275"/>
          <c:h val="0.8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2014_15'!$C$1</c:f>
              <c:strCache>
                <c:ptCount val="1"/>
                <c:pt idx="0">
                  <c:v>SAGIS: WEEKLIKSE INVOERE EN UITVOERE - KORING 2014/15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2014_15'!$A$10:$B$61</c:f>
              <c:multiLvlStrCache>
                <c:ptCount val="52"/>
                <c:lvl>
                  <c:pt idx="0">
                    <c:v>03-Oct 14</c:v>
                  </c:pt>
                  <c:pt idx="1">
                    <c:v>10-Oct 14</c:v>
                  </c:pt>
                  <c:pt idx="2">
                    <c:v>17-Oct 14</c:v>
                  </c:pt>
                  <c:pt idx="3">
                    <c:v>24-Oct 14</c:v>
                  </c:pt>
                  <c:pt idx="4">
                    <c:v>31-Oct 14</c:v>
                  </c:pt>
                  <c:pt idx="5">
                    <c:v>07-Nov 14</c:v>
                  </c:pt>
                  <c:pt idx="6">
                    <c:v>14-Nov 14</c:v>
                  </c:pt>
                  <c:pt idx="7">
                    <c:v>21-Nov 14</c:v>
                  </c:pt>
                  <c:pt idx="8">
                    <c:v>28-Nov 14</c:v>
                  </c:pt>
                  <c:pt idx="9">
                    <c:v>05-Dec 14</c:v>
                  </c:pt>
                  <c:pt idx="10">
                    <c:v>12-Dec 14</c:v>
                  </c:pt>
                  <c:pt idx="11">
                    <c:v>19-Dec 14</c:v>
                  </c:pt>
                  <c:pt idx="12">
                    <c:v>26-Dec 14</c:v>
                  </c:pt>
                  <c:pt idx="13">
                    <c:v>02-Jan 15</c:v>
                  </c:pt>
                  <c:pt idx="14">
                    <c:v>09-Jan 15</c:v>
                  </c:pt>
                  <c:pt idx="15">
                    <c:v>16-Jan 15</c:v>
                  </c:pt>
                  <c:pt idx="16">
                    <c:v>23-Jan 15</c:v>
                  </c:pt>
                  <c:pt idx="17">
                    <c:v>30-Jan 15</c:v>
                  </c:pt>
                  <c:pt idx="18">
                    <c:v>06-Feb 15</c:v>
                  </c:pt>
                  <c:pt idx="19">
                    <c:v>13-Feb 15</c:v>
                  </c:pt>
                  <c:pt idx="20">
                    <c:v>20-Feb 15</c:v>
                  </c:pt>
                  <c:pt idx="21">
                    <c:v>27-Feb 15</c:v>
                  </c:pt>
                  <c:pt idx="22">
                    <c:v>06-Mar 15</c:v>
                  </c:pt>
                  <c:pt idx="23">
                    <c:v>13-Mar 15</c:v>
                  </c:pt>
                  <c:pt idx="24">
                    <c:v>20-Mar 15</c:v>
                  </c:pt>
                  <c:pt idx="25">
                    <c:v>27-Mar 15</c:v>
                  </c:pt>
                  <c:pt idx="26">
                    <c:v>03-Apr 15</c:v>
                  </c:pt>
                  <c:pt idx="27">
                    <c:v>10-Apr 15</c:v>
                  </c:pt>
                  <c:pt idx="28">
                    <c:v>17-Apr 15</c:v>
                  </c:pt>
                  <c:pt idx="29">
                    <c:v>24-Apr 15</c:v>
                  </c:pt>
                  <c:pt idx="30">
                    <c:v>01-May 15</c:v>
                  </c:pt>
                  <c:pt idx="31">
                    <c:v>08-May 15</c:v>
                  </c:pt>
                  <c:pt idx="32">
                    <c:v>15-May 15</c:v>
                  </c:pt>
                  <c:pt idx="33">
                    <c:v>22-May 15</c:v>
                  </c:pt>
                  <c:pt idx="34">
                    <c:v>29-May 15</c:v>
                  </c:pt>
                  <c:pt idx="35">
                    <c:v>05-Jun 15</c:v>
                  </c:pt>
                  <c:pt idx="36">
                    <c:v>12-Jun 15</c:v>
                  </c:pt>
                  <c:pt idx="37">
                    <c:v>19-Jun 15</c:v>
                  </c:pt>
                  <c:pt idx="38">
                    <c:v>26-Jun 15</c:v>
                  </c:pt>
                  <c:pt idx="39">
                    <c:v>03-Jul 15</c:v>
                  </c:pt>
                  <c:pt idx="40">
                    <c:v>10-Jul 15</c:v>
                  </c:pt>
                  <c:pt idx="41">
                    <c:v>17-Jul 15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'Data 2014_15'!$D$10:$D$61</c:f>
              <c:numCache>
                <c:ptCount val="52"/>
                <c:pt idx="0">
                  <c:v>15062</c:v>
                </c:pt>
                <c:pt idx="1">
                  <c:v>77547</c:v>
                </c:pt>
                <c:pt idx="2">
                  <c:v>122679</c:v>
                </c:pt>
                <c:pt idx="3">
                  <c:v>214163</c:v>
                </c:pt>
                <c:pt idx="4">
                  <c:v>266743</c:v>
                </c:pt>
                <c:pt idx="5">
                  <c:v>324568</c:v>
                </c:pt>
                <c:pt idx="6">
                  <c:v>345412</c:v>
                </c:pt>
                <c:pt idx="7">
                  <c:v>388862</c:v>
                </c:pt>
                <c:pt idx="8">
                  <c:v>439070</c:v>
                </c:pt>
                <c:pt idx="9">
                  <c:v>479059</c:v>
                </c:pt>
                <c:pt idx="10">
                  <c:v>479059</c:v>
                </c:pt>
                <c:pt idx="11">
                  <c:v>479059</c:v>
                </c:pt>
                <c:pt idx="12">
                  <c:v>549275</c:v>
                </c:pt>
                <c:pt idx="13">
                  <c:v>587477</c:v>
                </c:pt>
                <c:pt idx="14">
                  <c:v>603651</c:v>
                </c:pt>
                <c:pt idx="15">
                  <c:v>614993</c:v>
                </c:pt>
                <c:pt idx="16">
                  <c:v>636391</c:v>
                </c:pt>
                <c:pt idx="17">
                  <c:v>662979</c:v>
                </c:pt>
                <c:pt idx="18">
                  <c:v>701795</c:v>
                </c:pt>
                <c:pt idx="19">
                  <c:v>718102</c:v>
                </c:pt>
                <c:pt idx="20">
                  <c:v>765130</c:v>
                </c:pt>
                <c:pt idx="21">
                  <c:v>827448</c:v>
                </c:pt>
                <c:pt idx="22">
                  <c:v>866272</c:v>
                </c:pt>
                <c:pt idx="23">
                  <c:v>942945</c:v>
                </c:pt>
                <c:pt idx="24">
                  <c:v>964064</c:v>
                </c:pt>
                <c:pt idx="25">
                  <c:v>1043339</c:v>
                </c:pt>
                <c:pt idx="26">
                  <c:v>1118643</c:v>
                </c:pt>
                <c:pt idx="27">
                  <c:v>1149523</c:v>
                </c:pt>
                <c:pt idx="28">
                  <c:v>1205180</c:v>
                </c:pt>
                <c:pt idx="29">
                  <c:v>1230846</c:v>
                </c:pt>
                <c:pt idx="30">
                  <c:v>1262048</c:v>
                </c:pt>
                <c:pt idx="31">
                  <c:v>1274298</c:v>
                </c:pt>
                <c:pt idx="32">
                  <c:v>1274298</c:v>
                </c:pt>
                <c:pt idx="33">
                  <c:v>1274298</c:v>
                </c:pt>
                <c:pt idx="34">
                  <c:v>1299111</c:v>
                </c:pt>
                <c:pt idx="35">
                  <c:v>1299111</c:v>
                </c:pt>
                <c:pt idx="36">
                  <c:v>1302112</c:v>
                </c:pt>
                <c:pt idx="37">
                  <c:v>1336905</c:v>
                </c:pt>
                <c:pt idx="38">
                  <c:v>1400906</c:v>
                </c:pt>
                <c:pt idx="39">
                  <c:v>1478941</c:v>
                </c:pt>
                <c:pt idx="40">
                  <c:v>1489798</c:v>
                </c:pt>
                <c:pt idx="41">
                  <c:v>1498502</c:v>
                </c:pt>
              </c:numCache>
            </c:numRef>
          </c:val>
        </c:ser>
        <c:ser>
          <c:idx val="0"/>
          <c:order val="1"/>
          <c:tx>
            <c:strRef>
              <c:f>'Data 2013_14'!$C$1</c:f>
              <c:strCache>
                <c:ptCount val="1"/>
                <c:pt idx="0">
                  <c:v>SAGIS: WEEKLIKSE INVOERE EN UITVOERE - KORING 2013/14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2014_15'!$A$10:$B$61</c:f>
              <c:multiLvlStrCache>
                <c:ptCount val="52"/>
                <c:lvl>
                  <c:pt idx="0">
                    <c:v>03-Oct 14</c:v>
                  </c:pt>
                  <c:pt idx="1">
                    <c:v>10-Oct 14</c:v>
                  </c:pt>
                  <c:pt idx="2">
                    <c:v>17-Oct 14</c:v>
                  </c:pt>
                  <c:pt idx="3">
                    <c:v>24-Oct 14</c:v>
                  </c:pt>
                  <c:pt idx="4">
                    <c:v>31-Oct 14</c:v>
                  </c:pt>
                  <c:pt idx="5">
                    <c:v>07-Nov 14</c:v>
                  </c:pt>
                  <c:pt idx="6">
                    <c:v>14-Nov 14</c:v>
                  </c:pt>
                  <c:pt idx="7">
                    <c:v>21-Nov 14</c:v>
                  </c:pt>
                  <c:pt idx="8">
                    <c:v>28-Nov 14</c:v>
                  </c:pt>
                  <c:pt idx="9">
                    <c:v>05-Dec 14</c:v>
                  </c:pt>
                  <c:pt idx="10">
                    <c:v>12-Dec 14</c:v>
                  </c:pt>
                  <c:pt idx="11">
                    <c:v>19-Dec 14</c:v>
                  </c:pt>
                  <c:pt idx="12">
                    <c:v>26-Dec 14</c:v>
                  </c:pt>
                  <c:pt idx="13">
                    <c:v>02-Jan 15</c:v>
                  </c:pt>
                  <c:pt idx="14">
                    <c:v>09-Jan 15</c:v>
                  </c:pt>
                  <c:pt idx="15">
                    <c:v>16-Jan 15</c:v>
                  </c:pt>
                  <c:pt idx="16">
                    <c:v>23-Jan 15</c:v>
                  </c:pt>
                  <c:pt idx="17">
                    <c:v>30-Jan 15</c:v>
                  </c:pt>
                  <c:pt idx="18">
                    <c:v>06-Feb 15</c:v>
                  </c:pt>
                  <c:pt idx="19">
                    <c:v>13-Feb 15</c:v>
                  </c:pt>
                  <c:pt idx="20">
                    <c:v>20-Feb 15</c:v>
                  </c:pt>
                  <c:pt idx="21">
                    <c:v>27-Feb 15</c:v>
                  </c:pt>
                  <c:pt idx="22">
                    <c:v>06-Mar 15</c:v>
                  </c:pt>
                  <c:pt idx="23">
                    <c:v>13-Mar 15</c:v>
                  </c:pt>
                  <c:pt idx="24">
                    <c:v>20-Mar 15</c:v>
                  </c:pt>
                  <c:pt idx="25">
                    <c:v>27-Mar 15</c:v>
                  </c:pt>
                  <c:pt idx="26">
                    <c:v>03-Apr 15</c:v>
                  </c:pt>
                  <c:pt idx="27">
                    <c:v>10-Apr 15</c:v>
                  </c:pt>
                  <c:pt idx="28">
                    <c:v>17-Apr 15</c:v>
                  </c:pt>
                  <c:pt idx="29">
                    <c:v>24-Apr 15</c:v>
                  </c:pt>
                  <c:pt idx="30">
                    <c:v>01-May 15</c:v>
                  </c:pt>
                  <c:pt idx="31">
                    <c:v>08-May 15</c:v>
                  </c:pt>
                  <c:pt idx="32">
                    <c:v>15-May 15</c:v>
                  </c:pt>
                  <c:pt idx="33">
                    <c:v>22-May 15</c:v>
                  </c:pt>
                  <c:pt idx="34">
                    <c:v>29-May 15</c:v>
                  </c:pt>
                  <c:pt idx="35">
                    <c:v>05-Jun 15</c:v>
                  </c:pt>
                  <c:pt idx="36">
                    <c:v>12-Jun 15</c:v>
                  </c:pt>
                  <c:pt idx="37">
                    <c:v>19-Jun 15</c:v>
                  </c:pt>
                  <c:pt idx="38">
                    <c:v>26-Jun 15</c:v>
                  </c:pt>
                  <c:pt idx="39">
                    <c:v>03-Jul 15</c:v>
                  </c:pt>
                  <c:pt idx="40">
                    <c:v>10-Jul 15</c:v>
                  </c:pt>
                  <c:pt idx="41">
                    <c:v>17-Jul 15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'Data 2013_14'!$D$10:$D$61</c:f>
              <c:numCache>
                <c:ptCount val="52"/>
                <c:pt idx="0">
                  <c:v>20386</c:v>
                </c:pt>
                <c:pt idx="1">
                  <c:v>78328</c:v>
                </c:pt>
                <c:pt idx="2">
                  <c:v>111984</c:v>
                </c:pt>
                <c:pt idx="3">
                  <c:v>179275</c:v>
                </c:pt>
                <c:pt idx="4">
                  <c:v>248543</c:v>
                </c:pt>
                <c:pt idx="5">
                  <c:v>280802</c:v>
                </c:pt>
                <c:pt idx="6">
                  <c:v>287861</c:v>
                </c:pt>
                <c:pt idx="7">
                  <c:v>316671</c:v>
                </c:pt>
                <c:pt idx="8">
                  <c:v>347077</c:v>
                </c:pt>
                <c:pt idx="9">
                  <c:v>397632</c:v>
                </c:pt>
                <c:pt idx="10">
                  <c:v>397632</c:v>
                </c:pt>
                <c:pt idx="11">
                  <c:v>397632</c:v>
                </c:pt>
                <c:pt idx="12">
                  <c:v>589836</c:v>
                </c:pt>
                <c:pt idx="13">
                  <c:v>597200</c:v>
                </c:pt>
                <c:pt idx="14">
                  <c:v>621089</c:v>
                </c:pt>
                <c:pt idx="15">
                  <c:v>621089</c:v>
                </c:pt>
                <c:pt idx="16">
                  <c:v>642812</c:v>
                </c:pt>
                <c:pt idx="17">
                  <c:v>664501</c:v>
                </c:pt>
                <c:pt idx="18">
                  <c:v>685069</c:v>
                </c:pt>
                <c:pt idx="19">
                  <c:v>748343</c:v>
                </c:pt>
                <c:pt idx="20">
                  <c:v>772905</c:v>
                </c:pt>
                <c:pt idx="21">
                  <c:v>772905</c:v>
                </c:pt>
                <c:pt idx="22">
                  <c:v>772905</c:v>
                </c:pt>
                <c:pt idx="23">
                  <c:v>772905</c:v>
                </c:pt>
                <c:pt idx="24">
                  <c:v>811150</c:v>
                </c:pt>
                <c:pt idx="25">
                  <c:v>850461</c:v>
                </c:pt>
                <c:pt idx="26">
                  <c:v>867237</c:v>
                </c:pt>
                <c:pt idx="27">
                  <c:v>912707</c:v>
                </c:pt>
                <c:pt idx="28">
                  <c:v>923202</c:v>
                </c:pt>
                <c:pt idx="29">
                  <c:v>923709</c:v>
                </c:pt>
                <c:pt idx="30">
                  <c:v>926148</c:v>
                </c:pt>
                <c:pt idx="31">
                  <c:v>943955</c:v>
                </c:pt>
                <c:pt idx="32">
                  <c:v>975060</c:v>
                </c:pt>
                <c:pt idx="33">
                  <c:v>1064674</c:v>
                </c:pt>
                <c:pt idx="34">
                  <c:v>1126631</c:v>
                </c:pt>
                <c:pt idx="35">
                  <c:v>1129472</c:v>
                </c:pt>
                <c:pt idx="36">
                  <c:v>1182823</c:v>
                </c:pt>
                <c:pt idx="37">
                  <c:v>1225171</c:v>
                </c:pt>
                <c:pt idx="38">
                  <c:v>1265999</c:v>
                </c:pt>
                <c:pt idx="39">
                  <c:v>1298553</c:v>
                </c:pt>
                <c:pt idx="40">
                  <c:v>1298553</c:v>
                </c:pt>
                <c:pt idx="41">
                  <c:v>1343951</c:v>
                </c:pt>
                <c:pt idx="42">
                  <c:v>1400394</c:v>
                </c:pt>
                <c:pt idx="43">
                  <c:v>1400394</c:v>
                </c:pt>
                <c:pt idx="44">
                  <c:v>1400394</c:v>
                </c:pt>
                <c:pt idx="45">
                  <c:v>1454371</c:v>
                </c:pt>
                <c:pt idx="46">
                  <c:v>1488891</c:v>
                </c:pt>
                <c:pt idx="47">
                  <c:v>1488891</c:v>
                </c:pt>
                <c:pt idx="48">
                  <c:v>1549872</c:v>
                </c:pt>
                <c:pt idx="49">
                  <c:v>1609047</c:v>
                </c:pt>
                <c:pt idx="50">
                  <c:v>1647367</c:v>
                </c:pt>
                <c:pt idx="51">
                  <c:v>1656612</c:v>
                </c:pt>
              </c:numCache>
            </c:numRef>
          </c:val>
        </c:ser>
        <c:overlap val="-25"/>
        <c:gapWidth val="75"/>
        <c:axId val="41173011"/>
        <c:axId val="35012780"/>
      </c:barChart>
      <c:catAx>
        <c:axId val="411730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5012780"/>
        <c:crosses val="autoZero"/>
        <c:auto val="1"/>
        <c:lblOffset val="100"/>
        <c:tickLblSkip val="1"/>
        <c:noMultiLvlLbl val="0"/>
      </c:catAx>
      <c:valAx>
        <c:axId val="35012780"/>
        <c:scaling>
          <c:orientation val="minMax"/>
          <c:max val="1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173011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6"/>
          <c:y val="0.9185"/>
          <c:w val="0.77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Koringinvoere/Wheat imports - 2014/2015 (ton) </a:t>
            </a:r>
          </a:p>
        </c:rich>
      </c:tx>
      <c:layout>
        <c:manualLayout>
          <c:xMode val="factor"/>
          <c:yMode val="factor"/>
          <c:x val="-0.003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55"/>
          <c:y val="0.154"/>
          <c:w val="0.4675"/>
          <c:h val="0.76275"/>
        </c:manualLayout>
      </c:layout>
      <c:pieChart>
        <c:varyColors val="1"/>
        <c:ser>
          <c:idx val="0"/>
          <c:order val="0"/>
          <c:tx>
            <c:strRef>
              <c:f>'Land-Country data'!$N$21</c:f>
              <c:strCache>
                <c:ptCount val="1"/>
                <c:pt idx="0">
                  <c:v>2014/2015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data'!$A$22:$A$39</c:f>
              <c:strCache>
                <c:ptCount val="18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Romania</c:v>
                </c:pt>
              </c:strCache>
            </c:strRef>
          </c:cat>
          <c:val>
            <c:numRef>
              <c:f>'Land-Country data'!$N$22:$N$39</c:f>
              <c:numCache>
                <c:ptCount val="18"/>
                <c:pt idx="2">
                  <c:v>21810</c:v>
                </c:pt>
                <c:pt idx="3">
                  <c:v>98877</c:v>
                </c:pt>
                <c:pt idx="4">
                  <c:v>335203</c:v>
                </c:pt>
                <c:pt idx="5">
                  <c:v>431694</c:v>
                </c:pt>
                <c:pt idx="7">
                  <c:v>58987</c:v>
                </c:pt>
                <c:pt idx="8">
                  <c:v>98457</c:v>
                </c:pt>
                <c:pt idx="9">
                  <c:v>257195</c:v>
                </c:pt>
                <c:pt idx="14">
                  <c:v>61005</c:v>
                </c:pt>
                <c:pt idx="15">
                  <c:v>43791</c:v>
                </c:pt>
                <c:pt idx="16">
                  <c:v>91483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Koringuitvoere/Wheat exports - 2014/2015 (ton)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85"/>
          <c:y val="0.19825"/>
          <c:w val="0.44075"/>
          <c:h val="0.72"/>
        </c:manualLayout>
      </c:layout>
      <c:pieChart>
        <c:varyColors val="1"/>
        <c:ser>
          <c:idx val="0"/>
          <c:order val="0"/>
          <c:tx>
            <c:strRef>
              <c:f>'Land-Country data'!$N$47</c:f>
              <c:strCache>
                <c:ptCount val="1"/>
                <c:pt idx="0">
                  <c:v>2014/2015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data'!$A$48:$A$59</c:f>
              <c:strCache>
                <c:ptCount val="12"/>
                <c:pt idx="0">
                  <c:v>Swaziland</c:v>
                </c:pt>
                <c:pt idx="1">
                  <c:v>Namibia</c:v>
                </c:pt>
                <c:pt idx="2">
                  <c:v>Zimbabwe</c:v>
                </c:pt>
                <c:pt idx="3">
                  <c:v>Lesotho</c:v>
                </c:pt>
                <c:pt idx="4">
                  <c:v>Botswana</c:v>
                </c:pt>
                <c:pt idx="5">
                  <c:v>Angola</c:v>
                </c:pt>
                <c:pt idx="6">
                  <c:v>Guinea</c:v>
                </c:pt>
                <c:pt idx="7">
                  <c:v>Malawi</c:v>
                </c:pt>
                <c:pt idx="8">
                  <c:v>Mauritius</c:v>
                </c:pt>
                <c:pt idx="9">
                  <c:v>Mosambiek</c:v>
                </c:pt>
                <c:pt idx="10">
                  <c:v>Russia</c:v>
                </c:pt>
                <c:pt idx="11">
                  <c:v>Zambia</c:v>
                </c:pt>
              </c:strCache>
            </c:strRef>
          </c:cat>
          <c:val>
            <c:numRef>
              <c:f>'Land-Country data'!$N$48:$N$60</c:f>
              <c:numCache>
                <c:ptCount val="13"/>
                <c:pt idx="0">
                  <c:v>15347</c:v>
                </c:pt>
                <c:pt idx="1">
                  <c:v>17730</c:v>
                </c:pt>
                <c:pt idx="2">
                  <c:v>76284</c:v>
                </c:pt>
                <c:pt idx="3">
                  <c:v>21940</c:v>
                </c:pt>
                <c:pt idx="4">
                  <c:v>63096</c:v>
                </c:pt>
                <c:pt idx="8">
                  <c:v>580</c:v>
                </c:pt>
                <c:pt idx="9">
                  <c:v>56</c:v>
                </c:pt>
                <c:pt idx="11">
                  <c:v>40609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KORING: IN EN UITVOERE (2014/2015)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: IMPORTS AND EXPORTS (2014/2015)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0725"/>
          <c:w val="0.9747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2014_15'!$C$7</c:f>
              <c:strCache>
                <c:ptCount val="1"/>
                <c:pt idx="0">
                  <c:v>Invoere/ Imports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2014_15'!$B$10:$B$61</c:f>
              <c:strCache>
                <c:ptCount val="52"/>
                <c:pt idx="0">
                  <c:v>03-Oct 14</c:v>
                </c:pt>
                <c:pt idx="1">
                  <c:v>10-Oct 14</c:v>
                </c:pt>
                <c:pt idx="2">
                  <c:v>17-Oct 14</c:v>
                </c:pt>
                <c:pt idx="3">
                  <c:v>24-Oct 14</c:v>
                </c:pt>
                <c:pt idx="4">
                  <c:v>31-Oct 14</c:v>
                </c:pt>
                <c:pt idx="5">
                  <c:v>07-Nov 14</c:v>
                </c:pt>
                <c:pt idx="6">
                  <c:v>14-Nov 14</c:v>
                </c:pt>
                <c:pt idx="7">
                  <c:v>21-Nov 14</c:v>
                </c:pt>
                <c:pt idx="8">
                  <c:v>28-Nov 14</c:v>
                </c:pt>
                <c:pt idx="9">
                  <c:v>05-Dec 14</c:v>
                </c:pt>
                <c:pt idx="10">
                  <c:v>12-Dec 14</c:v>
                </c:pt>
                <c:pt idx="11">
                  <c:v>19-Dec 14</c:v>
                </c:pt>
                <c:pt idx="12">
                  <c:v>26-Dec 14</c:v>
                </c:pt>
                <c:pt idx="13">
                  <c:v>02-Jan 15</c:v>
                </c:pt>
                <c:pt idx="14">
                  <c:v>09-Jan 15</c:v>
                </c:pt>
                <c:pt idx="15">
                  <c:v>16-Jan 15</c:v>
                </c:pt>
                <c:pt idx="16">
                  <c:v>23-Jan 15</c:v>
                </c:pt>
                <c:pt idx="17">
                  <c:v>30-Jan 15</c:v>
                </c:pt>
                <c:pt idx="18">
                  <c:v>06-Feb 15</c:v>
                </c:pt>
                <c:pt idx="19">
                  <c:v>13-Feb 15</c:v>
                </c:pt>
                <c:pt idx="20">
                  <c:v>20-Feb 15</c:v>
                </c:pt>
                <c:pt idx="21">
                  <c:v>27-Feb 15</c:v>
                </c:pt>
                <c:pt idx="22">
                  <c:v>06-Mar 15</c:v>
                </c:pt>
                <c:pt idx="23">
                  <c:v>13-Mar 15</c:v>
                </c:pt>
                <c:pt idx="24">
                  <c:v>20-Mar 15</c:v>
                </c:pt>
                <c:pt idx="25">
                  <c:v>27-Mar 15</c:v>
                </c:pt>
                <c:pt idx="26">
                  <c:v>03-Apr 15</c:v>
                </c:pt>
                <c:pt idx="27">
                  <c:v>10-Apr 15</c:v>
                </c:pt>
                <c:pt idx="28">
                  <c:v>17-Apr 15</c:v>
                </c:pt>
                <c:pt idx="29">
                  <c:v>24-Apr 15</c:v>
                </c:pt>
                <c:pt idx="30">
                  <c:v>01-May 15</c:v>
                </c:pt>
                <c:pt idx="31">
                  <c:v>08-May 15</c:v>
                </c:pt>
                <c:pt idx="32">
                  <c:v>15-May 15</c:v>
                </c:pt>
                <c:pt idx="33">
                  <c:v>22-May 15</c:v>
                </c:pt>
                <c:pt idx="34">
                  <c:v>29-May 15</c:v>
                </c:pt>
                <c:pt idx="35">
                  <c:v>05-Jun 15</c:v>
                </c:pt>
                <c:pt idx="36">
                  <c:v>12-Jun 15</c:v>
                </c:pt>
                <c:pt idx="37">
                  <c:v>19-Jun 15</c:v>
                </c:pt>
                <c:pt idx="38">
                  <c:v>26-Jun 15</c:v>
                </c:pt>
                <c:pt idx="39">
                  <c:v>03-Jul 15</c:v>
                </c:pt>
                <c:pt idx="40">
                  <c:v>10-Jul 15</c:v>
                </c:pt>
                <c:pt idx="41">
                  <c:v>17-Jul 15</c:v>
                </c:pt>
              </c:strCache>
            </c:strRef>
          </c:cat>
          <c:val>
            <c:numRef>
              <c:f>'Data 2014_15'!$C$10:$C$61</c:f>
              <c:numCache>
                <c:ptCount val="52"/>
                <c:pt idx="0">
                  <c:v>15062</c:v>
                </c:pt>
                <c:pt idx="1">
                  <c:v>62485</c:v>
                </c:pt>
                <c:pt idx="2">
                  <c:v>45132</c:v>
                </c:pt>
                <c:pt idx="3">
                  <c:v>91484</c:v>
                </c:pt>
                <c:pt idx="4">
                  <c:v>52580</c:v>
                </c:pt>
                <c:pt idx="5">
                  <c:v>57825</c:v>
                </c:pt>
                <c:pt idx="6">
                  <c:v>20844</c:v>
                </c:pt>
                <c:pt idx="7">
                  <c:v>43450</c:v>
                </c:pt>
                <c:pt idx="8">
                  <c:v>50208</c:v>
                </c:pt>
                <c:pt idx="9">
                  <c:v>39989</c:v>
                </c:pt>
                <c:pt idx="10">
                  <c:v>0</c:v>
                </c:pt>
                <c:pt idx="11">
                  <c:v>0</c:v>
                </c:pt>
                <c:pt idx="12">
                  <c:v>70216</c:v>
                </c:pt>
                <c:pt idx="13">
                  <c:v>38202</c:v>
                </c:pt>
                <c:pt idx="14">
                  <c:v>16174</c:v>
                </c:pt>
                <c:pt idx="15">
                  <c:v>11342</c:v>
                </c:pt>
                <c:pt idx="16">
                  <c:v>21398</c:v>
                </c:pt>
                <c:pt idx="17">
                  <c:v>26588</c:v>
                </c:pt>
                <c:pt idx="18">
                  <c:v>38816</c:v>
                </c:pt>
                <c:pt idx="19">
                  <c:v>16307</c:v>
                </c:pt>
                <c:pt idx="20">
                  <c:v>47028</c:v>
                </c:pt>
                <c:pt idx="21">
                  <c:v>62318</c:v>
                </c:pt>
                <c:pt idx="22">
                  <c:v>38824</c:v>
                </c:pt>
                <c:pt idx="23">
                  <c:v>76673</c:v>
                </c:pt>
                <c:pt idx="24">
                  <c:v>21119</c:v>
                </c:pt>
                <c:pt idx="25">
                  <c:v>79275</c:v>
                </c:pt>
                <c:pt idx="26">
                  <c:v>75304</c:v>
                </c:pt>
                <c:pt idx="27">
                  <c:v>30880</c:v>
                </c:pt>
                <c:pt idx="28">
                  <c:v>55657</c:v>
                </c:pt>
                <c:pt idx="29">
                  <c:v>25666</c:v>
                </c:pt>
                <c:pt idx="30">
                  <c:v>31202</c:v>
                </c:pt>
                <c:pt idx="31">
                  <c:v>12250</c:v>
                </c:pt>
                <c:pt idx="32">
                  <c:v>0</c:v>
                </c:pt>
                <c:pt idx="33">
                  <c:v>0</c:v>
                </c:pt>
                <c:pt idx="34">
                  <c:v>24813</c:v>
                </c:pt>
                <c:pt idx="35">
                  <c:v>0</c:v>
                </c:pt>
                <c:pt idx="36">
                  <c:v>3001</c:v>
                </c:pt>
                <c:pt idx="37">
                  <c:v>34793</c:v>
                </c:pt>
                <c:pt idx="38">
                  <c:v>64001</c:v>
                </c:pt>
                <c:pt idx="39">
                  <c:v>78035</c:v>
                </c:pt>
                <c:pt idx="40">
                  <c:v>10857</c:v>
                </c:pt>
                <c:pt idx="41">
                  <c:v>8704</c:v>
                </c:pt>
              </c:numCache>
            </c:numRef>
          </c:val>
        </c:ser>
        <c:ser>
          <c:idx val="1"/>
          <c:order val="1"/>
          <c:tx>
            <c:strRef>
              <c:f>'Data 2014_15'!$E$7</c:f>
              <c:strCache>
                <c:ptCount val="1"/>
                <c:pt idx="0">
                  <c:v>Uitvoere/exports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2014_15'!$B$10:$B$61</c:f>
              <c:strCache>
                <c:ptCount val="52"/>
                <c:pt idx="0">
                  <c:v>03-Oct 14</c:v>
                </c:pt>
                <c:pt idx="1">
                  <c:v>10-Oct 14</c:v>
                </c:pt>
                <c:pt idx="2">
                  <c:v>17-Oct 14</c:v>
                </c:pt>
                <c:pt idx="3">
                  <c:v>24-Oct 14</c:v>
                </c:pt>
                <c:pt idx="4">
                  <c:v>31-Oct 14</c:v>
                </c:pt>
                <c:pt idx="5">
                  <c:v>07-Nov 14</c:v>
                </c:pt>
                <c:pt idx="6">
                  <c:v>14-Nov 14</c:v>
                </c:pt>
                <c:pt idx="7">
                  <c:v>21-Nov 14</c:v>
                </c:pt>
                <c:pt idx="8">
                  <c:v>28-Nov 14</c:v>
                </c:pt>
                <c:pt idx="9">
                  <c:v>05-Dec 14</c:v>
                </c:pt>
                <c:pt idx="10">
                  <c:v>12-Dec 14</c:v>
                </c:pt>
                <c:pt idx="11">
                  <c:v>19-Dec 14</c:v>
                </c:pt>
                <c:pt idx="12">
                  <c:v>26-Dec 14</c:v>
                </c:pt>
                <c:pt idx="13">
                  <c:v>02-Jan 15</c:v>
                </c:pt>
                <c:pt idx="14">
                  <c:v>09-Jan 15</c:v>
                </c:pt>
                <c:pt idx="15">
                  <c:v>16-Jan 15</c:v>
                </c:pt>
                <c:pt idx="16">
                  <c:v>23-Jan 15</c:v>
                </c:pt>
                <c:pt idx="17">
                  <c:v>30-Jan 15</c:v>
                </c:pt>
                <c:pt idx="18">
                  <c:v>06-Feb 15</c:v>
                </c:pt>
                <c:pt idx="19">
                  <c:v>13-Feb 15</c:v>
                </c:pt>
                <c:pt idx="20">
                  <c:v>20-Feb 15</c:v>
                </c:pt>
                <c:pt idx="21">
                  <c:v>27-Feb 15</c:v>
                </c:pt>
                <c:pt idx="22">
                  <c:v>06-Mar 15</c:v>
                </c:pt>
                <c:pt idx="23">
                  <c:v>13-Mar 15</c:v>
                </c:pt>
                <c:pt idx="24">
                  <c:v>20-Mar 15</c:v>
                </c:pt>
                <c:pt idx="25">
                  <c:v>27-Mar 15</c:v>
                </c:pt>
                <c:pt idx="26">
                  <c:v>03-Apr 15</c:v>
                </c:pt>
                <c:pt idx="27">
                  <c:v>10-Apr 15</c:v>
                </c:pt>
                <c:pt idx="28">
                  <c:v>17-Apr 15</c:v>
                </c:pt>
                <c:pt idx="29">
                  <c:v>24-Apr 15</c:v>
                </c:pt>
                <c:pt idx="30">
                  <c:v>01-May 15</c:v>
                </c:pt>
                <c:pt idx="31">
                  <c:v>08-May 15</c:v>
                </c:pt>
                <c:pt idx="32">
                  <c:v>15-May 15</c:v>
                </c:pt>
                <c:pt idx="33">
                  <c:v>22-May 15</c:v>
                </c:pt>
                <c:pt idx="34">
                  <c:v>29-May 15</c:v>
                </c:pt>
                <c:pt idx="35">
                  <c:v>05-Jun 15</c:v>
                </c:pt>
                <c:pt idx="36">
                  <c:v>12-Jun 15</c:v>
                </c:pt>
                <c:pt idx="37">
                  <c:v>19-Jun 15</c:v>
                </c:pt>
                <c:pt idx="38">
                  <c:v>26-Jun 15</c:v>
                </c:pt>
                <c:pt idx="39">
                  <c:v>03-Jul 15</c:v>
                </c:pt>
                <c:pt idx="40">
                  <c:v>10-Jul 15</c:v>
                </c:pt>
                <c:pt idx="41">
                  <c:v>17-Jul 15</c:v>
                </c:pt>
              </c:strCache>
            </c:strRef>
          </c:cat>
          <c:val>
            <c:numRef>
              <c:f>'Data 2014_15'!$E$10:$E$61</c:f>
              <c:numCache>
                <c:ptCount val="52"/>
                <c:pt idx="0">
                  <c:v>2299</c:v>
                </c:pt>
                <c:pt idx="1">
                  <c:v>2890</c:v>
                </c:pt>
                <c:pt idx="2">
                  <c:v>2363</c:v>
                </c:pt>
                <c:pt idx="3">
                  <c:v>3431</c:v>
                </c:pt>
                <c:pt idx="4">
                  <c:v>3078</c:v>
                </c:pt>
                <c:pt idx="5">
                  <c:v>1597</c:v>
                </c:pt>
                <c:pt idx="6">
                  <c:v>1275</c:v>
                </c:pt>
                <c:pt idx="7">
                  <c:v>1899</c:v>
                </c:pt>
                <c:pt idx="8">
                  <c:v>5396</c:v>
                </c:pt>
                <c:pt idx="9">
                  <c:v>5418</c:v>
                </c:pt>
                <c:pt idx="10">
                  <c:v>0</c:v>
                </c:pt>
                <c:pt idx="11">
                  <c:v>0</c:v>
                </c:pt>
                <c:pt idx="12">
                  <c:v>21644</c:v>
                </c:pt>
                <c:pt idx="13">
                  <c:v>3478</c:v>
                </c:pt>
                <c:pt idx="14">
                  <c:v>3781</c:v>
                </c:pt>
                <c:pt idx="15">
                  <c:v>9079</c:v>
                </c:pt>
                <c:pt idx="16">
                  <c:v>5641</c:v>
                </c:pt>
                <c:pt idx="17">
                  <c:v>7373</c:v>
                </c:pt>
                <c:pt idx="18">
                  <c:v>5518</c:v>
                </c:pt>
                <c:pt idx="19">
                  <c:v>5700</c:v>
                </c:pt>
                <c:pt idx="20">
                  <c:v>3991</c:v>
                </c:pt>
                <c:pt idx="21">
                  <c:v>4175</c:v>
                </c:pt>
                <c:pt idx="22">
                  <c:v>8913</c:v>
                </c:pt>
                <c:pt idx="23">
                  <c:v>9257</c:v>
                </c:pt>
                <c:pt idx="24">
                  <c:v>6580</c:v>
                </c:pt>
                <c:pt idx="25">
                  <c:v>8586</c:v>
                </c:pt>
                <c:pt idx="26">
                  <c:v>4833</c:v>
                </c:pt>
                <c:pt idx="27">
                  <c:v>7304</c:v>
                </c:pt>
                <c:pt idx="28">
                  <c:v>8961</c:v>
                </c:pt>
                <c:pt idx="29">
                  <c:v>7415</c:v>
                </c:pt>
                <c:pt idx="30">
                  <c:v>5132</c:v>
                </c:pt>
                <c:pt idx="31">
                  <c:v>5516</c:v>
                </c:pt>
                <c:pt idx="32">
                  <c:v>5316</c:v>
                </c:pt>
                <c:pt idx="33">
                  <c:v>8022</c:v>
                </c:pt>
                <c:pt idx="34">
                  <c:v>8025</c:v>
                </c:pt>
                <c:pt idx="35">
                  <c:v>6565</c:v>
                </c:pt>
                <c:pt idx="36">
                  <c:v>7900</c:v>
                </c:pt>
                <c:pt idx="37">
                  <c:v>7726</c:v>
                </c:pt>
                <c:pt idx="38">
                  <c:v>6532</c:v>
                </c:pt>
                <c:pt idx="39">
                  <c:v>4675</c:v>
                </c:pt>
                <c:pt idx="40">
                  <c:v>4368</c:v>
                </c:pt>
                <c:pt idx="41">
                  <c:v>3990</c:v>
                </c:pt>
              </c:numCache>
            </c:numRef>
          </c:val>
        </c:ser>
        <c:overlap val="-25"/>
        <c:gapWidth val="75"/>
        <c:axId val="46679565"/>
        <c:axId val="17462902"/>
      </c:barChart>
      <c:catAx>
        <c:axId val="46679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2902"/>
        <c:crosses val="autoZero"/>
        <c:auto val="1"/>
        <c:lblOffset val="100"/>
        <c:tickLblSkip val="1"/>
        <c:noMultiLvlLbl val="0"/>
      </c:catAx>
      <c:valAx>
        <c:axId val="17462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679565"/>
        <c:crossesAt val="1"/>
        <c:crossBetween val="between"/>
        <c:dispUnits/>
        <c:majorUnit val="5000"/>
        <c:minorUnit val="2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275"/>
          <c:y val="0.95325"/>
          <c:w val="0.193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2362204724409449" right="0.2362204724409449" top="0.7480314960629921" bottom="0.7480314960629921" header="0.31496062992125984" footer="0.31496062992125984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2362204724409449" right="0.2362204724409449" top="0.7480314960629921" bottom="0.7480314960629921" header="0.31496062992125984" footer="0.31496062992125984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6153150"/>
    <xdr:graphicFrame>
      <xdr:nvGraphicFramePr>
        <xdr:cNvPr id="1" name="Chart 1"/>
        <xdr:cNvGraphicFramePr/>
      </xdr:nvGraphicFramePr>
      <xdr:xfrm>
        <a:off x="0" y="0"/>
        <a:ext cx="102298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6153150"/>
    <xdr:graphicFrame>
      <xdr:nvGraphicFramePr>
        <xdr:cNvPr id="1" name="Shape 1025"/>
        <xdr:cNvGraphicFramePr/>
      </xdr:nvGraphicFramePr>
      <xdr:xfrm>
        <a:off x="0" y="0"/>
        <a:ext cx="102298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1"/>
  <sheetViews>
    <sheetView zoomScalePageLayoutView="0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" sqref="C3"/>
    </sheetView>
  </sheetViews>
  <sheetFormatPr defaultColWidth="9.140625" defaultRowHeight="12.75"/>
  <cols>
    <col min="1" max="1" width="5.8515625" style="75" bestFit="1" customWidth="1"/>
    <col min="2" max="2" width="10.421875" style="4" customWidth="1"/>
    <col min="3" max="3" width="11.71093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84</v>
      </c>
    </row>
    <row r="2" ht="12.75">
      <c r="C2" s="5" t="s">
        <v>85</v>
      </c>
    </row>
    <row r="3" ht="12.75">
      <c r="C3" s="5"/>
    </row>
    <row r="4" spans="2:3" ht="12.75">
      <c r="B4" s="13" t="s">
        <v>142</v>
      </c>
      <c r="C4" s="5"/>
    </row>
    <row r="5" ht="12.75">
      <c r="C5" s="5"/>
    </row>
    <row r="6" ht="13.5" thickBot="1"/>
    <row r="7" spans="1:8" ht="12.75">
      <c r="A7" s="76"/>
      <c r="B7" s="9" t="s">
        <v>46</v>
      </c>
      <c r="C7" s="9" t="s">
        <v>45</v>
      </c>
      <c r="D7" s="9" t="s">
        <v>45</v>
      </c>
      <c r="E7" s="9" t="s">
        <v>49</v>
      </c>
      <c r="F7" s="9" t="s">
        <v>49</v>
      </c>
      <c r="G7" s="9" t="s">
        <v>2</v>
      </c>
      <c r="H7" s="9" t="s">
        <v>2</v>
      </c>
    </row>
    <row r="8" spans="1:8" ht="12.75">
      <c r="A8" s="77"/>
      <c r="B8" s="10" t="s">
        <v>16</v>
      </c>
      <c r="C8" s="10" t="s">
        <v>0</v>
      </c>
      <c r="D8" s="10" t="s">
        <v>48</v>
      </c>
      <c r="E8" s="11"/>
      <c r="F8" s="10" t="s">
        <v>48</v>
      </c>
      <c r="G8" s="10" t="s">
        <v>47</v>
      </c>
      <c r="H8" s="10" t="s">
        <v>48</v>
      </c>
    </row>
    <row r="9" spans="1:8" ht="13.5" thickBot="1">
      <c r="A9" s="77" t="s">
        <v>21</v>
      </c>
      <c r="B9" s="74" t="s">
        <v>44</v>
      </c>
      <c r="C9" s="74" t="s">
        <v>1</v>
      </c>
      <c r="D9" s="74" t="s">
        <v>1</v>
      </c>
      <c r="E9" s="74" t="s">
        <v>1</v>
      </c>
      <c r="F9" s="74" t="s">
        <v>1</v>
      </c>
      <c r="G9" s="74" t="s">
        <v>1</v>
      </c>
      <c r="H9" s="74" t="s">
        <v>1</v>
      </c>
    </row>
    <row r="10" spans="1:8" ht="12.75">
      <c r="A10" s="75">
        <v>1</v>
      </c>
      <c r="B10" s="78" t="s">
        <v>81</v>
      </c>
      <c r="C10" s="12">
        <v>20386</v>
      </c>
      <c r="D10" s="111">
        <f>C10</f>
        <v>20386</v>
      </c>
      <c r="E10" s="12">
        <v>1618</v>
      </c>
      <c r="F10" s="3">
        <f>E10</f>
        <v>1618</v>
      </c>
      <c r="G10" s="7">
        <f>+C10-E10</f>
        <v>18768</v>
      </c>
      <c r="H10" s="2">
        <f>G10</f>
        <v>18768</v>
      </c>
    </row>
    <row r="11" spans="1:8" ht="12.75">
      <c r="A11" s="75">
        <v>2</v>
      </c>
      <c r="B11" s="78" t="s">
        <v>86</v>
      </c>
      <c r="C11" s="1">
        <v>57942</v>
      </c>
      <c r="D11" s="111">
        <f>C11+D10</f>
        <v>78328</v>
      </c>
      <c r="E11" s="1">
        <v>1169</v>
      </c>
      <c r="F11" s="3">
        <f>E11+F10</f>
        <v>2787</v>
      </c>
      <c r="G11" s="7">
        <f aca="true" t="shared" si="0" ref="G11:G61">+C11-E11</f>
        <v>56773</v>
      </c>
      <c r="H11" s="2">
        <f aca="true" t="shared" si="1" ref="H11:H61">G11</f>
        <v>56773</v>
      </c>
    </row>
    <row r="12" spans="1:8" ht="12.75">
      <c r="A12" s="75">
        <v>3</v>
      </c>
      <c r="B12" s="78" t="s">
        <v>87</v>
      </c>
      <c r="C12" s="1">
        <v>33656</v>
      </c>
      <c r="D12" s="111">
        <f aca="true" t="shared" si="2" ref="D12:D61">C12+D11</f>
        <v>111984</v>
      </c>
      <c r="E12" s="1">
        <v>2420</v>
      </c>
      <c r="F12" s="3">
        <f aca="true" t="shared" si="3" ref="F12:F42">E12+F11</f>
        <v>5207</v>
      </c>
      <c r="G12" s="7">
        <f t="shared" si="0"/>
        <v>31236</v>
      </c>
      <c r="H12" s="2">
        <f t="shared" si="1"/>
        <v>31236</v>
      </c>
    </row>
    <row r="13" spans="1:8" ht="12.75">
      <c r="A13" s="75">
        <v>4</v>
      </c>
      <c r="B13" s="78" t="s">
        <v>88</v>
      </c>
      <c r="C13" s="1">
        <v>67291</v>
      </c>
      <c r="D13" s="111">
        <f t="shared" si="2"/>
        <v>179275</v>
      </c>
      <c r="E13" s="1">
        <v>2730</v>
      </c>
      <c r="F13" s="3">
        <f t="shared" si="3"/>
        <v>7937</v>
      </c>
      <c r="G13" s="7">
        <f t="shared" si="0"/>
        <v>64561</v>
      </c>
      <c r="H13" s="2">
        <f t="shared" si="1"/>
        <v>64561</v>
      </c>
    </row>
    <row r="14" spans="1:8" ht="12.75">
      <c r="A14" s="75">
        <v>5</v>
      </c>
      <c r="B14" s="78" t="s">
        <v>89</v>
      </c>
      <c r="C14" s="1">
        <v>69268</v>
      </c>
      <c r="D14" s="111">
        <f t="shared" si="2"/>
        <v>248543</v>
      </c>
      <c r="E14" s="1">
        <v>2002</v>
      </c>
      <c r="F14" s="3">
        <f t="shared" si="3"/>
        <v>9939</v>
      </c>
      <c r="G14" s="7">
        <f t="shared" si="0"/>
        <v>67266</v>
      </c>
      <c r="H14" s="2">
        <f t="shared" si="1"/>
        <v>67266</v>
      </c>
    </row>
    <row r="15" spans="1:8" ht="12.75">
      <c r="A15" s="75">
        <v>6</v>
      </c>
      <c r="B15" s="78" t="s">
        <v>90</v>
      </c>
      <c r="C15" s="1">
        <v>32259</v>
      </c>
      <c r="D15" s="111">
        <f t="shared" si="2"/>
        <v>280802</v>
      </c>
      <c r="E15" s="1">
        <v>2150</v>
      </c>
      <c r="F15" s="3">
        <f t="shared" si="3"/>
        <v>12089</v>
      </c>
      <c r="G15" s="7">
        <f t="shared" si="0"/>
        <v>30109</v>
      </c>
      <c r="H15" s="2">
        <f t="shared" si="1"/>
        <v>30109</v>
      </c>
    </row>
    <row r="16" spans="1:8" ht="12.75">
      <c r="A16" s="75">
        <v>7</v>
      </c>
      <c r="B16" s="78" t="s">
        <v>91</v>
      </c>
      <c r="C16" s="1">
        <v>7059</v>
      </c>
      <c r="D16" s="111">
        <f t="shared" si="2"/>
        <v>287861</v>
      </c>
      <c r="E16" s="1">
        <v>1141</v>
      </c>
      <c r="F16" s="3">
        <f t="shared" si="3"/>
        <v>13230</v>
      </c>
      <c r="G16" s="7">
        <f t="shared" si="0"/>
        <v>5918</v>
      </c>
      <c r="H16" s="2">
        <f t="shared" si="1"/>
        <v>5918</v>
      </c>
    </row>
    <row r="17" spans="1:8" ht="12.75">
      <c r="A17" s="75">
        <v>8</v>
      </c>
      <c r="B17" s="78" t="s">
        <v>92</v>
      </c>
      <c r="C17" s="1">
        <v>28810</v>
      </c>
      <c r="D17" s="111">
        <f t="shared" si="2"/>
        <v>316671</v>
      </c>
      <c r="E17" s="1">
        <v>3024</v>
      </c>
      <c r="F17" s="3">
        <f t="shared" si="3"/>
        <v>16254</v>
      </c>
      <c r="G17" s="7">
        <f t="shared" si="0"/>
        <v>25786</v>
      </c>
      <c r="H17" s="2">
        <f t="shared" si="1"/>
        <v>25786</v>
      </c>
    </row>
    <row r="18" spans="1:8" ht="12.75">
      <c r="A18" s="75">
        <v>9</v>
      </c>
      <c r="B18" s="78" t="s">
        <v>93</v>
      </c>
      <c r="C18" s="1">
        <v>30406</v>
      </c>
      <c r="D18" s="111">
        <f t="shared" si="2"/>
        <v>347077</v>
      </c>
      <c r="E18" s="1">
        <v>1960</v>
      </c>
      <c r="F18" s="3">
        <f t="shared" si="3"/>
        <v>18214</v>
      </c>
      <c r="G18" s="7">
        <f t="shared" si="0"/>
        <v>28446</v>
      </c>
      <c r="H18" s="2">
        <f t="shared" si="1"/>
        <v>28446</v>
      </c>
    </row>
    <row r="19" spans="1:8" ht="12.75">
      <c r="A19" s="75">
        <v>10</v>
      </c>
      <c r="B19" s="78" t="s">
        <v>95</v>
      </c>
      <c r="C19" s="1">
        <v>50555</v>
      </c>
      <c r="D19" s="111">
        <f t="shared" si="2"/>
        <v>397632</v>
      </c>
      <c r="E19" s="1">
        <v>2559</v>
      </c>
      <c r="F19" s="3">
        <f t="shared" si="3"/>
        <v>20773</v>
      </c>
      <c r="G19" s="7">
        <f t="shared" si="0"/>
        <v>47996</v>
      </c>
      <c r="H19" s="2">
        <f t="shared" si="1"/>
        <v>47996</v>
      </c>
    </row>
    <row r="20" spans="1:8" ht="12.75">
      <c r="A20" s="75">
        <v>11</v>
      </c>
      <c r="B20" s="78" t="s">
        <v>96</v>
      </c>
      <c r="C20" s="86">
        <v>0</v>
      </c>
      <c r="D20" s="111">
        <f t="shared" si="2"/>
        <v>397632</v>
      </c>
      <c r="E20" s="86">
        <v>0</v>
      </c>
      <c r="F20" s="3">
        <f t="shared" si="3"/>
        <v>20773</v>
      </c>
      <c r="G20" s="7">
        <f t="shared" si="0"/>
        <v>0</v>
      </c>
      <c r="H20" s="2">
        <f t="shared" si="1"/>
        <v>0</v>
      </c>
    </row>
    <row r="21" spans="1:8" ht="12.75">
      <c r="A21" s="75">
        <v>12</v>
      </c>
      <c r="B21" s="78" t="s">
        <v>97</v>
      </c>
      <c r="C21" s="86">
        <v>0</v>
      </c>
      <c r="D21" s="111">
        <f t="shared" si="2"/>
        <v>397632</v>
      </c>
      <c r="E21" s="86">
        <v>0</v>
      </c>
      <c r="F21" s="3">
        <f t="shared" si="3"/>
        <v>20773</v>
      </c>
      <c r="G21" s="7">
        <f t="shared" si="0"/>
        <v>0</v>
      </c>
      <c r="H21" s="2">
        <f t="shared" si="1"/>
        <v>0</v>
      </c>
    </row>
    <row r="22" spans="1:8" ht="12.75">
      <c r="A22" s="75">
        <v>13</v>
      </c>
      <c r="B22" s="78" t="s">
        <v>98</v>
      </c>
      <c r="C22" s="1">
        <v>192204</v>
      </c>
      <c r="D22" s="111">
        <f t="shared" si="2"/>
        <v>589836</v>
      </c>
      <c r="E22" s="1">
        <v>10166</v>
      </c>
      <c r="F22" s="3">
        <f t="shared" si="3"/>
        <v>30939</v>
      </c>
      <c r="G22" s="7">
        <f t="shared" si="0"/>
        <v>182038</v>
      </c>
      <c r="H22" s="2">
        <f t="shared" si="1"/>
        <v>182038</v>
      </c>
    </row>
    <row r="23" spans="1:8" ht="12.75">
      <c r="A23" s="75">
        <v>14</v>
      </c>
      <c r="B23" s="78" t="s">
        <v>99</v>
      </c>
      <c r="C23" s="1">
        <v>7364</v>
      </c>
      <c r="D23" s="111">
        <f t="shared" si="2"/>
        <v>597200</v>
      </c>
      <c r="E23" s="1">
        <v>1639</v>
      </c>
      <c r="F23" s="3">
        <f t="shared" si="3"/>
        <v>32578</v>
      </c>
      <c r="G23" s="7">
        <f t="shared" si="0"/>
        <v>5725</v>
      </c>
      <c r="H23" s="2">
        <f t="shared" si="1"/>
        <v>5725</v>
      </c>
    </row>
    <row r="24" spans="1:8" ht="12.75">
      <c r="A24" s="75">
        <v>15</v>
      </c>
      <c r="B24" s="78" t="s">
        <v>100</v>
      </c>
      <c r="C24" s="1">
        <v>23889</v>
      </c>
      <c r="D24" s="111">
        <f t="shared" si="2"/>
        <v>621089</v>
      </c>
      <c r="E24" s="1">
        <v>10884</v>
      </c>
      <c r="F24" s="3">
        <f t="shared" si="3"/>
        <v>43462</v>
      </c>
      <c r="G24" s="7">
        <f t="shared" si="0"/>
        <v>13005</v>
      </c>
      <c r="H24" s="2">
        <f t="shared" si="1"/>
        <v>13005</v>
      </c>
    </row>
    <row r="25" spans="1:8" ht="12.75">
      <c r="A25" s="75">
        <v>16</v>
      </c>
      <c r="B25" s="78" t="s">
        <v>101</v>
      </c>
      <c r="C25" s="1">
        <v>0</v>
      </c>
      <c r="D25" s="111">
        <f t="shared" si="2"/>
        <v>621089</v>
      </c>
      <c r="E25" s="1">
        <v>5909</v>
      </c>
      <c r="F25" s="3">
        <f t="shared" si="3"/>
        <v>49371</v>
      </c>
      <c r="G25" s="7">
        <f t="shared" si="0"/>
        <v>-5909</v>
      </c>
      <c r="H25" s="2">
        <f t="shared" si="1"/>
        <v>-5909</v>
      </c>
    </row>
    <row r="26" spans="1:14" ht="12.75">
      <c r="A26" s="75">
        <v>17</v>
      </c>
      <c r="B26" s="78" t="s">
        <v>102</v>
      </c>
      <c r="C26" s="1">
        <v>21723</v>
      </c>
      <c r="D26" s="111">
        <f t="shared" si="2"/>
        <v>642812</v>
      </c>
      <c r="E26" s="1">
        <v>4843</v>
      </c>
      <c r="F26" s="3">
        <f t="shared" si="3"/>
        <v>54214</v>
      </c>
      <c r="G26" s="7">
        <f t="shared" si="0"/>
        <v>16880</v>
      </c>
      <c r="H26" s="2">
        <f t="shared" si="1"/>
        <v>16880</v>
      </c>
      <c r="N26" s="110"/>
    </row>
    <row r="27" spans="1:8" ht="12.75">
      <c r="A27" s="75">
        <v>18</v>
      </c>
      <c r="B27" s="78" t="s">
        <v>103</v>
      </c>
      <c r="C27" s="1">
        <v>21689</v>
      </c>
      <c r="D27" s="111">
        <f t="shared" si="2"/>
        <v>664501</v>
      </c>
      <c r="E27" s="1">
        <v>5854</v>
      </c>
      <c r="F27" s="3">
        <f t="shared" si="3"/>
        <v>60068</v>
      </c>
      <c r="G27" s="7">
        <f t="shared" si="0"/>
        <v>15835</v>
      </c>
      <c r="H27" s="2">
        <f t="shared" si="1"/>
        <v>15835</v>
      </c>
    </row>
    <row r="28" spans="1:8" ht="12.75">
      <c r="A28" s="75">
        <v>19</v>
      </c>
      <c r="B28" s="78" t="s">
        <v>104</v>
      </c>
      <c r="C28" s="1">
        <v>20568</v>
      </c>
      <c r="D28" s="111">
        <f t="shared" si="2"/>
        <v>685069</v>
      </c>
      <c r="E28" s="1">
        <v>5655</v>
      </c>
      <c r="F28" s="3">
        <f t="shared" si="3"/>
        <v>65723</v>
      </c>
      <c r="G28" s="7">
        <f t="shared" si="0"/>
        <v>14913</v>
      </c>
      <c r="H28" s="2">
        <f t="shared" si="1"/>
        <v>14913</v>
      </c>
    </row>
    <row r="29" spans="1:8" ht="12.75">
      <c r="A29" s="75">
        <v>20</v>
      </c>
      <c r="B29" s="78" t="s">
        <v>105</v>
      </c>
      <c r="C29" s="1">
        <v>63274</v>
      </c>
      <c r="D29" s="111">
        <f t="shared" si="2"/>
        <v>748343</v>
      </c>
      <c r="E29" s="1">
        <v>8122</v>
      </c>
      <c r="F29" s="3">
        <f t="shared" si="3"/>
        <v>73845</v>
      </c>
      <c r="G29" s="7">
        <f t="shared" si="0"/>
        <v>55152</v>
      </c>
      <c r="H29" s="2">
        <f t="shared" si="1"/>
        <v>55152</v>
      </c>
    </row>
    <row r="30" spans="1:8" ht="12.75">
      <c r="A30" s="75">
        <v>21</v>
      </c>
      <c r="B30" s="78" t="s">
        <v>107</v>
      </c>
      <c r="C30" s="1">
        <v>24562</v>
      </c>
      <c r="D30" s="111">
        <f t="shared" si="2"/>
        <v>772905</v>
      </c>
      <c r="E30" s="1">
        <v>7375</v>
      </c>
      <c r="F30" s="3">
        <f t="shared" si="3"/>
        <v>81220</v>
      </c>
      <c r="G30" s="7">
        <f t="shared" si="0"/>
        <v>17187</v>
      </c>
      <c r="H30" s="2">
        <f t="shared" si="1"/>
        <v>17187</v>
      </c>
    </row>
    <row r="31" spans="1:8" ht="12.75">
      <c r="A31" s="75">
        <v>22</v>
      </c>
      <c r="B31" s="78" t="s">
        <v>108</v>
      </c>
      <c r="C31" s="1">
        <v>0</v>
      </c>
      <c r="D31" s="111">
        <f t="shared" si="2"/>
        <v>772905</v>
      </c>
      <c r="E31" s="1">
        <v>7369</v>
      </c>
      <c r="F31" s="3">
        <f t="shared" si="3"/>
        <v>88589</v>
      </c>
      <c r="G31" s="7">
        <f t="shared" si="0"/>
        <v>-7369</v>
      </c>
      <c r="H31" s="2">
        <f t="shared" si="1"/>
        <v>-7369</v>
      </c>
    </row>
    <row r="32" spans="1:8" ht="12.75">
      <c r="A32" s="75">
        <v>23</v>
      </c>
      <c r="B32" s="78" t="s">
        <v>109</v>
      </c>
      <c r="C32" s="1">
        <v>0</v>
      </c>
      <c r="D32" s="111">
        <f t="shared" si="2"/>
        <v>772905</v>
      </c>
      <c r="E32" s="1">
        <v>6206</v>
      </c>
      <c r="F32" s="3">
        <f t="shared" si="3"/>
        <v>94795</v>
      </c>
      <c r="G32" s="7">
        <f t="shared" si="0"/>
        <v>-6206</v>
      </c>
      <c r="H32" s="2">
        <f t="shared" si="1"/>
        <v>-6206</v>
      </c>
    </row>
    <row r="33" spans="1:8" ht="12.75">
      <c r="A33" s="75">
        <v>24</v>
      </c>
      <c r="B33" s="78" t="s">
        <v>110</v>
      </c>
      <c r="C33" s="1">
        <v>0</v>
      </c>
      <c r="D33" s="111">
        <f t="shared" si="2"/>
        <v>772905</v>
      </c>
      <c r="E33" s="1">
        <v>6891</v>
      </c>
      <c r="F33" s="3">
        <f t="shared" si="3"/>
        <v>101686</v>
      </c>
      <c r="G33" s="7">
        <f t="shared" si="0"/>
        <v>-6891</v>
      </c>
      <c r="H33" s="2">
        <f t="shared" si="1"/>
        <v>-6891</v>
      </c>
    </row>
    <row r="34" spans="1:8" ht="12.75">
      <c r="A34" s="75">
        <v>25</v>
      </c>
      <c r="B34" s="78" t="s">
        <v>111</v>
      </c>
      <c r="C34" s="1">
        <v>38245</v>
      </c>
      <c r="D34" s="111">
        <f t="shared" si="2"/>
        <v>811150</v>
      </c>
      <c r="E34" s="1">
        <v>4147</v>
      </c>
      <c r="F34" s="3">
        <f t="shared" si="3"/>
        <v>105833</v>
      </c>
      <c r="G34" s="7">
        <f t="shared" si="0"/>
        <v>34098</v>
      </c>
      <c r="H34" s="2">
        <f t="shared" si="1"/>
        <v>34098</v>
      </c>
    </row>
    <row r="35" spans="1:8" ht="12.75">
      <c r="A35" s="75">
        <v>26</v>
      </c>
      <c r="B35" s="78" t="s">
        <v>112</v>
      </c>
      <c r="C35" s="1">
        <v>39311</v>
      </c>
      <c r="D35" s="111">
        <f t="shared" si="2"/>
        <v>850461</v>
      </c>
      <c r="E35" s="1">
        <v>10593</v>
      </c>
      <c r="F35" s="3">
        <f t="shared" si="3"/>
        <v>116426</v>
      </c>
      <c r="G35" s="7">
        <f t="shared" si="0"/>
        <v>28718</v>
      </c>
      <c r="H35" s="2">
        <f t="shared" si="1"/>
        <v>28718</v>
      </c>
    </row>
    <row r="36" spans="1:8" ht="12.75">
      <c r="A36" s="75">
        <v>27</v>
      </c>
      <c r="B36" s="78" t="s">
        <v>113</v>
      </c>
      <c r="C36" s="1">
        <v>16776</v>
      </c>
      <c r="D36" s="111">
        <f t="shared" si="2"/>
        <v>867237</v>
      </c>
      <c r="E36" s="1">
        <v>6313</v>
      </c>
      <c r="F36" s="3">
        <f t="shared" si="3"/>
        <v>122739</v>
      </c>
      <c r="G36" s="7">
        <f t="shared" si="0"/>
        <v>10463</v>
      </c>
      <c r="H36" s="2">
        <f t="shared" si="1"/>
        <v>10463</v>
      </c>
    </row>
    <row r="37" spans="1:8" ht="12.75">
      <c r="A37" s="75">
        <v>28</v>
      </c>
      <c r="B37" s="78" t="s">
        <v>115</v>
      </c>
      <c r="C37" s="1">
        <v>45470</v>
      </c>
      <c r="D37" s="111">
        <f t="shared" si="2"/>
        <v>912707</v>
      </c>
      <c r="E37" s="1">
        <v>4610</v>
      </c>
      <c r="F37" s="3">
        <f t="shared" si="3"/>
        <v>127349</v>
      </c>
      <c r="G37" s="7">
        <f t="shared" si="0"/>
        <v>40860</v>
      </c>
      <c r="H37" s="2">
        <f t="shared" si="1"/>
        <v>40860</v>
      </c>
    </row>
    <row r="38" spans="1:8" ht="12.75">
      <c r="A38" s="75">
        <v>29</v>
      </c>
      <c r="B38" s="78" t="s">
        <v>116</v>
      </c>
      <c r="C38" s="1">
        <v>10495</v>
      </c>
      <c r="D38" s="111">
        <f t="shared" si="2"/>
        <v>923202</v>
      </c>
      <c r="E38" s="1">
        <v>4180</v>
      </c>
      <c r="F38" s="3">
        <f t="shared" si="3"/>
        <v>131529</v>
      </c>
      <c r="G38" s="7">
        <f t="shared" si="0"/>
        <v>6315</v>
      </c>
      <c r="H38" s="2">
        <f t="shared" si="1"/>
        <v>6315</v>
      </c>
    </row>
    <row r="39" spans="1:8" ht="12.75">
      <c r="A39" s="75">
        <v>30</v>
      </c>
      <c r="B39" s="78" t="s">
        <v>117</v>
      </c>
      <c r="C39" s="1">
        <v>507</v>
      </c>
      <c r="D39" s="111">
        <f t="shared" si="2"/>
        <v>923709</v>
      </c>
      <c r="E39" s="1">
        <v>6978</v>
      </c>
      <c r="F39" s="3">
        <f t="shared" si="3"/>
        <v>138507</v>
      </c>
      <c r="G39" s="7">
        <f t="shared" si="0"/>
        <v>-6471</v>
      </c>
      <c r="H39" s="2">
        <f t="shared" si="1"/>
        <v>-6471</v>
      </c>
    </row>
    <row r="40" spans="1:8" ht="12.75">
      <c r="A40" s="75">
        <v>31</v>
      </c>
      <c r="B40" s="78" t="s">
        <v>118</v>
      </c>
      <c r="C40" s="1">
        <v>2439</v>
      </c>
      <c r="D40" s="111">
        <f t="shared" si="2"/>
        <v>926148</v>
      </c>
      <c r="E40" s="1">
        <v>5856</v>
      </c>
      <c r="F40" s="3">
        <f t="shared" si="3"/>
        <v>144363</v>
      </c>
      <c r="G40" s="7">
        <f t="shared" si="0"/>
        <v>-3417</v>
      </c>
      <c r="H40" s="2">
        <f t="shared" si="1"/>
        <v>-3417</v>
      </c>
    </row>
    <row r="41" spans="1:8" ht="12.75">
      <c r="A41" s="75">
        <v>32</v>
      </c>
      <c r="B41" s="78" t="s">
        <v>119</v>
      </c>
      <c r="C41" s="1">
        <v>17807</v>
      </c>
      <c r="D41" s="111">
        <f t="shared" si="2"/>
        <v>943955</v>
      </c>
      <c r="E41" s="1">
        <v>9622</v>
      </c>
      <c r="F41" s="3">
        <f t="shared" si="3"/>
        <v>153985</v>
      </c>
      <c r="G41" s="7">
        <f t="shared" si="0"/>
        <v>8185</v>
      </c>
      <c r="H41" s="2">
        <f t="shared" si="1"/>
        <v>8185</v>
      </c>
    </row>
    <row r="42" spans="1:8" ht="12.75">
      <c r="A42" s="75">
        <v>33</v>
      </c>
      <c r="B42" s="78" t="s">
        <v>120</v>
      </c>
      <c r="C42" s="1">
        <v>31105</v>
      </c>
      <c r="D42" s="111">
        <f t="shared" si="2"/>
        <v>975060</v>
      </c>
      <c r="E42" s="1">
        <v>5717</v>
      </c>
      <c r="F42" s="3">
        <f t="shared" si="3"/>
        <v>159702</v>
      </c>
      <c r="G42" s="7">
        <f t="shared" si="0"/>
        <v>25388</v>
      </c>
      <c r="H42" s="2">
        <f t="shared" si="1"/>
        <v>25388</v>
      </c>
    </row>
    <row r="43" spans="1:8" ht="12.75">
      <c r="A43" s="75">
        <v>34</v>
      </c>
      <c r="B43" s="78" t="s">
        <v>121</v>
      </c>
      <c r="C43" s="1">
        <v>89614</v>
      </c>
      <c r="D43" s="111">
        <f t="shared" si="2"/>
        <v>1064674</v>
      </c>
      <c r="E43" s="1">
        <v>4706</v>
      </c>
      <c r="F43" s="3">
        <f aca="true" t="shared" si="4" ref="F43:F61">E43+F42</f>
        <v>164408</v>
      </c>
      <c r="G43" s="7">
        <f t="shared" si="0"/>
        <v>84908</v>
      </c>
      <c r="H43" s="2">
        <f t="shared" si="1"/>
        <v>84908</v>
      </c>
    </row>
    <row r="44" spans="1:8" ht="12.75">
      <c r="A44" s="75">
        <v>35</v>
      </c>
      <c r="B44" s="78" t="s">
        <v>122</v>
      </c>
      <c r="C44" s="1">
        <v>61957</v>
      </c>
      <c r="D44" s="111">
        <f t="shared" si="2"/>
        <v>1126631</v>
      </c>
      <c r="E44" s="1">
        <v>5669</v>
      </c>
      <c r="F44" s="3">
        <f t="shared" si="4"/>
        <v>170077</v>
      </c>
      <c r="G44" s="7">
        <f t="shared" si="0"/>
        <v>56288</v>
      </c>
      <c r="H44" s="2">
        <f t="shared" si="1"/>
        <v>56288</v>
      </c>
    </row>
    <row r="45" spans="1:8" ht="12.75">
      <c r="A45" s="75">
        <v>36</v>
      </c>
      <c r="B45" s="78" t="s">
        <v>123</v>
      </c>
      <c r="C45" s="1">
        <v>2841</v>
      </c>
      <c r="D45" s="111">
        <f t="shared" si="2"/>
        <v>1129472</v>
      </c>
      <c r="E45" s="1">
        <v>3348</v>
      </c>
      <c r="F45" s="3">
        <f t="shared" si="4"/>
        <v>173425</v>
      </c>
      <c r="G45" s="7">
        <f t="shared" si="0"/>
        <v>-507</v>
      </c>
      <c r="H45" s="2">
        <f t="shared" si="1"/>
        <v>-507</v>
      </c>
    </row>
    <row r="46" spans="1:8" ht="12.75">
      <c r="A46" s="75">
        <v>37</v>
      </c>
      <c r="B46" s="78" t="s">
        <v>124</v>
      </c>
      <c r="C46" s="1">
        <v>53351</v>
      </c>
      <c r="D46" s="111">
        <f t="shared" si="2"/>
        <v>1182823</v>
      </c>
      <c r="E46" s="1">
        <v>3858</v>
      </c>
      <c r="F46" s="3">
        <f t="shared" si="4"/>
        <v>177283</v>
      </c>
      <c r="G46" s="7">
        <f t="shared" si="0"/>
        <v>49493</v>
      </c>
      <c r="H46" s="2">
        <f t="shared" si="1"/>
        <v>49493</v>
      </c>
    </row>
    <row r="47" spans="1:8" ht="12.75">
      <c r="A47" s="75">
        <v>38</v>
      </c>
      <c r="B47" s="78" t="s">
        <v>125</v>
      </c>
      <c r="C47" s="1">
        <v>42348</v>
      </c>
      <c r="D47" s="111">
        <f t="shared" si="2"/>
        <v>1225171</v>
      </c>
      <c r="E47" s="1">
        <v>3189</v>
      </c>
      <c r="F47" s="3">
        <f t="shared" si="4"/>
        <v>180472</v>
      </c>
      <c r="G47" s="7">
        <f t="shared" si="0"/>
        <v>39159</v>
      </c>
      <c r="H47" s="2">
        <f t="shared" si="1"/>
        <v>39159</v>
      </c>
    </row>
    <row r="48" spans="1:8" ht="12.75">
      <c r="A48" s="75">
        <v>39</v>
      </c>
      <c r="B48" s="78" t="s">
        <v>126</v>
      </c>
      <c r="C48" s="1">
        <v>40828</v>
      </c>
      <c r="D48" s="111">
        <f t="shared" si="2"/>
        <v>1265999</v>
      </c>
      <c r="E48" s="1">
        <v>4953</v>
      </c>
      <c r="F48" s="3">
        <f t="shared" si="4"/>
        <v>185425</v>
      </c>
      <c r="G48" s="7">
        <f t="shared" si="0"/>
        <v>35875</v>
      </c>
      <c r="H48" s="2">
        <f t="shared" si="1"/>
        <v>35875</v>
      </c>
    </row>
    <row r="49" spans="1:8" ht="12.75">
      <c r="A49" s="75">
        <v>40</v>
      </c>
      <c r="B49" s="78" t="s">
        <v>127</v>
      </c>
      <c r="C49" s="1">
        <v>32554</v>
      </c>
      <c r="D49" s="111">
        <f t="shared" si="2"/>
        <v>1298553</v>
      </c>
      <c r="E49" s="1">
        <v>3253</v>
      </c>
      <c r="F49" s="3">
        <f t="shared" si="4"/>
        <v>188678</v>
      </c>
      <c r="G49" s="7">
        <f t="shared" si="0"/>
        <v>29301</v>
      </c>
      <c r="H49" s="2">
        <f t="shared" si="1"/>
        <v>29301</v>
      </c>
    </row>
    <row r="50" spans="1:8" ht="12.75">
      <c r="A50" s="75">
        <v>41</v>
      </c>
      <c r="B50" s="78" t="s">
        <v>128</v>
      </c>
      <c r="C50" s="1">
        <v>0</v>
      </c>
      <c r="D50" s="111">
        <f t="shared" si="2"/>
        <v>1298553</v>
      </c>
      <c r="E50" s="1">
        <v>5175</v>
      </c>
      <c r="F50" s="3">
        <f t="shared" si="4"/>
        <v>193853</v>
      </c>
      <c r="G50" s="7">
        <f t="shared" si="0"/>
        <v>-5175</v>
      </c>
      <c r="H50" s="2">
        <f t="shared" si="1"/>
        <v>-5175</v>
      </c>
    </row>
    <row r="51" spans="1:8" ht="12.75">
      <c r="A51" s="75">
        <v>42</v>
      </c>
      <c r="B51" s="78" t="s">
        <v>129</v>
      </c>
      <c r="C51" s="1">
        <v>45398</v>
      </c>
      <c r="D51" s="111">
        <f t="shared" si="2"/>
        <v>1343951</v>
      </c>
      <c r="E51" s="1">
        <v>4061</v>
      </c>
      <c r="F51" s="3">
        <f t="shared" si="4"/>
        <v>197914</v>
      </c>
      <c r="G51" s="7">
        <f t="shared" si="0"/>
        <v>41337</v>
      </c>
      <c r="H51" s="2">
        <f t="shared" si="1"/>
        <v>41337</v>
      </c>
    </row>
    <row r="52" spans="1:8" ht="12.75">
      <c r="A52" s="75">
        <v>43</v>
      </c>
      <c r="B52" s="78" t="s">
        <v>130</v>
      </c>
      <c r="C52" s="1">
        <v>56443</v>
      </c>
      <c r="D52" s="111">
        <f t="shared" si="2"/>
        <v>1400394</v>
      </c>
      <c r="E52" s="1">
        <v>7138</v>
      </c>
      <c r="F52" s="3">
        <f t="shared" si="4"/>
        <v>205052</v>
      </c>
      <c r="G52" s="7">
        <f t="shared" si="0"/>
        <v>49305</v>
      </c>
      <c r="H52" s="2">
        <f t="shared" si="1"/>
        <v>49305</v>
      </c>
    </row>
    <row r="53" spans="1:8" ht="12.75">
      <c r="A53" s="75">
        <v>44</v>
      </c>
      <c r="B53" s="78" t="s">
        <v>131</v>
      </c>
      <c r="C53" s="1">
        <v>0</v>
      </c>
      <c r="D53" s="111">
        <f t="shared" si="2"/>
        <v>1400394</v>
      </c>
      <c r="E53" s="1">
        <v>6730</v>
      </c>
      <c r="F53" s="3">
        <f t="shared" si="4"/>
        <v>211782</v>
      </c>
      <c r="G53" s="7">
        <f t="shared" si="0"/>
        <v>-6730</v>
      </c>
      <c r="H53" s="2">
        <f t="shared" si="1"/>
        <v>-6730</v>
      </c>
    </row>
    <row r="54" spans="1:8" ht="12.75">
      <c r="A54" s="75">
        <v>45</v>
      </c>
      <c r="B54" s="78" t="s">
        <v>132</v>
      </c>
      <c r="C54" s="1">
        <v>0</v>
      </c>
      <c r="D54" s="111">
        <f t="shared" si="2"/>
        <v>1400394</v>
      </c>
      <c r="E54" s="1">
        <v>5632</v>
      </c>
      <c r="F54" s="3">
        <f t="shared" si="4"/>
        <v>217414</v>
      </c>
      <c r="G54" s="7">
        <f t="shared" si="0"/>
        <v>-5632</v>
      </c>
      <c r="H54" s="2">
        <f t="shared" si="1"/>
        <v>-5632</v>
      </c>
    </row>
    <row r="55" spans="1:8" ht="12.75">
      <c r="A55" s="75">
        <v>46</v>
      </c>
      <c r="B55" s="78" t="s">
        <v>133</v>
      </c>
      <c r="C55" s="1">
        <v>53977</v>
      </c>
      <c r="D55" s="111">
        <f t="shared" si="2"/>
        <v>1454371</v>
      </c>
      <c r="E55" s="1">
        <v>4665</v>
      </c>
      <c r="F55" s="3">
        <f t="shared" si="4"/>
        <v>222079</v>
      </c>
      <c r="G55" s="7">
        <f t="shared" si="0"/>
        <v>49312</v>
      </c>
      <c r="H55" s="2">
        <f t="shared" si="1"/>
        <v>49312</v>
      </c>
    </row>
    <row r="56" spans="1:8" ht="12.75">
      <c r="A56" s="75">
        <v>47</v>
      </c>
      <c r="B56" s="78" t="s">
        <v>134</v>
      </c>
      <c r="C56" s="1">
        <v>34520</v>
      </c>
      <c r="D56" s="111">
        <f t="shared" si="2"/>
        <v>1488891</v>
      </c>
      <c r="E56" s="1">
        <v>7565</v>
      </c>
      <c r="F56" s="3">
        <f t="shared" si="4"/>
        <v>229644</v>
      </c>
      <c r="G56" s="7">
        <f t="shared" si="0"/>
        <v>26955</v>
      </c>
      <c r="H56" s="2">
        <f t="shared" si="1"/>
        <v>26955</v>
      </c>
    </row>
    <row r="57" spans="1:8" ht="12.75">
      <c r="A57" s="75">
        <v>48</v>
      </c>
      <c r="B57" s="78" t="s">
        <v>135</v>
      </c>
      <c r="C57" s="1">
        <v>0</v>
      </c>
      <c r="D57" s="111">
        <f t="shared" si="2"/>
        <v>1488891</v>
      </c>
      <c r="E57" s="1">
        <v>6473</v>
      </c>
      <c r="F57" s="3">
        <f t="shared" si="4"/>
        <v>236117</v>
      </c>
      <c r="G57" s="7">
        <f t="shared" si="0"/>
        <v>-6473</v>
      </c>
      <c r="H57" s="2">
        <f t="shared" si="1"/>
        <v>-6473</v>
      </c>
    </row>
    <row r="58" spans="1:8" ht="12.75">
      <c r="A58" s="75">
        <v>49</v>
      </c>
      <c r="B58" s="78" t="s">
        <v>136</v>
      </c>
      <c r="C58" s="1">
        <v>60981</v>
      </c>
      <c r="D58" s="111">
        <f t="shared" si="2"/>
        <v>1549872</v>
      </c>
      <c r="E58" s="1">
        <v>4881</v>
      </c>
      <c r="F58" s="3">
        <f t="shared" si="4"/>
        <v>240998</v>
      </c>
      <c r="G58" s="7">
        <f t="shared" si="0"/>
        <v>56100</v>
      </c>
      <c r="H58" s="2">
        <f t="shared" si="1"/>
        <v>56100</v>
      </c>
    </row>
    <row r="59" spans="1:8" ht="12.75">
      <c r="A59" s="75">
        <v>50</v>
      </c>
      <c r="B59" s="78" t="s">
        <v>137</v>
      </c>
      <c r="C59" s="1">
        <v>59175</v>
      </c>
      <c r="D59" s="111">
        <f t="shared" si="2"/>
        <v>1609047</v>
      </c>
      <c r="E59" s="1">
        <v>4605</v>
      </c>
      <c r="F59" s="3">
        <f t="shared" si="4"/>
        <v>245603</v>
      </c>
      <c r="G59" s="7">
        <f t="shared" si="0"/>
        <v>54570</v>
      </c>
      <c r="H59" s="2">
        <f t="shared" si="1"/>
        <v>54570</v>
      </c>
    </row>
    <row r="60" spans="1:8" ht="12.75">
      <c r="A60" s="75">
        <v>51</v>
      </c>
      <c r="B60" s="78" t="s">
        <v>138</v>
      </c>
      <c r="C60" s="1">
        <v>38320</v>
      </c>
      <c r="D60" s="111">
        <f t="shared" si="2"/>
        <v>1647367</v>
      </c>
      <c r="E60" s="1">
        <v>5646</v>
      </c>
      <c r="F60" s="3">
        <f t="shared" si="4"/>
        <v>251249</v>
      </c>
      <c r="G60" s="7">
        <f t="shared" si="0"/>
        <v>32674</v>
      </c>
      <c r="H60" s="2">
        <f t="shared" si="1"/>
        <v>32674</v>
      </c>
    </row>
    <row r="61" spans="1:8" ht="13.5" thickBot="1">
      <c r="A61" s="75">
        <v>52</v>
      </c>
      <c r="B61" s="82" t="s">
        <v>139</v>
      </c>
      <c r="C61" s="80">
        <v>9245</v>
      </c>
      <c r="D61" s="112">
        <f t="shared" si="2"/>
        <v>1656612</v>
      </c>
      <c r="E61" s="80">
        <v>2651</v>
      </c>
      <c r="F61" s="113">
        <f t="shared" si="4"/>
        <v>253900</v>
      </c>
      <c r="G61" s="79">
        <f t="shared" si="0"/>
        <v>6594</v>
      </c>
      <c r="H61" s="79">
        <f t="shared" si="1"/>
        <v>6594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1"/>
  <sheetViews>
    <sheetView zoomScalePageLayoutView="0" workbookViewId="0" topLeftCell="A1">
      <pane xSplit="2" ySplit="9" topLeftCell="C3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50" sqref="F50:F51"/>
    </sheetView>
  </sheetViews>
  <sheetFormatPr defaultColWidth="9.140625" defaultRowHeight="12.75"/>
  <cols>
    <col min="1" max="1" width="5.8515625" style="75" bestFit="1" customWidth="1"/>
    <col min="2" max="2" width="10.421875" style="4" customWidth="1"/>
    <col min="3" max="3" width="11.71093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141</v>
      </c>
    </row>
    <row r="2" ht="12.75">
      <c r="C2" s="5" t="s">
        <v>140</v>
      </c>
    </row>
    <row r="3" ht="12.75">
      <c r="C3" s="5"/>
    </row>
    <row r="4" spans="2:3" ht="12.75">
      <c r="B4" s="13" t="s">
        <v>184</v>
      </c>
      <c r="C4" s="5"/>
    </row>
    <row r="5" ht="12.75">
      <c r="C5" s="5"/>
    </row>
    <row r="6" ht="13.5" thickBot="1"/>
    <row r="7" spans="1:8" ht="12.75">
      <c r="A7" s="76"/>
      <c r="B7" s="9" t="s">
        <v>46</v>
      </c>
      <c r="C7" s="9" t="s">
        <v>45</v>
      </c>
      <c r="D7" s="9" t="s">
        <v>45</v>
      </c>
      <c r="E7" s="9" t="s">
        <v>49</v>
      </c>
      <c r="F7" s="9" t="s">
        <v>49</v>
      </c>
      <c r="G7" s="9" t="s">
        <v>2</v>
      </c>
      <c r="H7" s="9" t="s">
        <v>2</v>
      </c>
    </row>
    <row r="8" spans="1:8" ht="12.75">
      <c r="A8" s="77"/>
      <c r="B8" s="10" t="s">
        <v>16</v>
      </c>
      <c r="C8" s="10" t="s">
        <v>0</v>
      </c>
      <c r="D8" s="10" t="s">
        <v>48</v>
      </c>
      <c r="E8" s="11"/>
      <c r="F8" s="10" t="s">
        <v>48</v>
      </c>
      <c r="G8" s="10" t="s">
        <v>47</v>
      </c>
      <c r="H8" s="10" t="s">
        <v>48</v>
      </c>
    </row>
    <row r="9" spans="1:8" ht="13.5" thickBot="1">
      <c r="A9" s="77" t="s">
        <v>21</v>
      </c>
      <c r="B9" s="74" t="s">
        <v>44</v>
      </c>
      <c r="C9" s="74" t="s">
        <v>1</v>
      </c>
      <c r="D9" s="74" t="s">
        <v>1</v>
      </c>
      <c r="E9" s="74" t="s">
        <v>1</v>
      </c>
      <c r="F9" s="74" t="s">
        <v>1</v>
      </c>
      <c r="G9" s="74" t="s">
        <v>1</v>
      </c>
      <c r="H9" s="74" t="s">
        <v>1</v>
      </c>
    </row>
    <row r="10" spans="1:8" ht="12.75">
      <c r="A10" s="75">
        <v>1</v>
      </c>
      <c r="B10" s="78" t="s">
        <v>145</v>
      </c>
      <c r="C10" s="12">
        <v>15062</v>
      </c>
      <c r="D10" s="111">
        <f>C10</f>
        <v>15062</v>
      </c>
      <c r="E10" s="12">
        <v>2299</v>
      </c>
      <c r="F10" s="3">
        <f>E10</f>
        <v>2299</v>
      </c>
      <c r="G10" s="7">
        <f>+C10-E10</f>
        <v>12763</v>
      </c>
      <c r="H10" s="2">
        <f>G10</f>
        <v>12763</v>
      </c>
    </row>
    <row r="11" spans="1:8" ht="12.75">
      <c r="A11" s="75">
        <v>2</v>
      </c>
      <c r="B11" s="78" t="s">
        <v>146</v>
      </c>
      <c r="C11" s="1">
        <v>62485</v>
      </c>
      <c r="D11" s="111">
        <f aca="true" t="shared" si="0" ref="D11:D51">C11+D10</f>
        <v>77547</v>
      </c>
      <c r="E11" s="1">
        <v>2890</v>
      </c>
      <c r="F11" s="3">
        <f aca="true" t="shared" si="1" ref="F11:F51">E11+F10</f>
        <v>5189</v>
      </c>
      <c r="G11" s="7">
        <f aca="true" t="shared" si="2" ref="G11:G61">+C11-E11</f>
        <v>59595</v>
      </c>
      <c r="H11" s="2">
        <f aca="true" t="shared" si="3" ref="H11:H61">G11</f>
        <v>59595</v>
      </c>
    </row>
    <row r="12" spans="1:8" ht="12.75">
      <c r="A12" s="75">
        <v>3</v>
      </c>
      <c r="B12" s="78" t="s">
        <v>147</v>
      </c>
      <c r="C12" s="1">
        <v>45132</v>
      </c>
      <c r="D12" s="111">
        <f t="shared" si="0"/>
        <v>122679</v>
      </c>
      <c r="E12" s="1">
        <v>2363</v>
      </c>
      <c r="F12" s="3">
        <f t="shared" si="1"/>
        <v>7552</v>
      </c>
      <c r="G12" s="7">
        <f t="shared" si="2"/>
        <v>42769</v>
      </c>
      <c r="H12" s="2">
        <f t="shared" si="3"/>
        <v>42769</v>
      </c>
    </row>
    <row r="13" spans="1:8" ht="12.75">
      <c r="A13" s="75">
        <v>4</v>
      </c>
      <c r="B13" s="78" t="s">
        <v>148</v>
      </c>
      <c r="C13" s="1">
        <v>91484</v>
      </c>
      <c r="D13" s="111">
        <f t="shared" si="0"/>
        <v>214163</v>
      </c>
      <c r="E13" s="1">
        <v>3431</v>
      </c>
      <c r="F13" s="3">
        <f t="shared" si="1"/>
        <v>10983</v>
      </c>
      <c r="G13" s="7">
        <f t="shared" si="2"/>
        <v>88053</v>
      </c>
      <c r="H13" s="2">
        <f t="shared" si="3"/>
        <v>88053</v>
      </c>
    </row>
    <row r="14" spans="1:8" ht="12.75">
      <c r="A14" s="75">
        <v>5</v>
      </c>
      <c r="B14" s="78" t="s">
        <v>150</v>
      </c>
      <c r="C14" s="1">
        <v>52580</v>
      </c>
      <c r="D14" s="111">
        <f t="shared" si="0"/>
        <v>266743</v>
      </c>
      <c r="E14" s="1">
        <v>3078</v>
      </c>
      <c r="F14" s="3">
        <f t="shared" si="1"/>
        <v>14061</v>
      </c>
      <c r="G14" s="7">
        <f t="shared" si="2"/>
        <v>49502</v>
      </c>
      <c r="H14" s="2">
        <f t="shared" si="3"/>
        <v>49502</v>
      </c>
    </row>
    <row r="15" spans="1:8" ht="12.75">
      <c r="A15" s="75">
        <v>6</v>
      </c>
      <c r="B15" s="78" t="s">
        <v>151</v>
      </c>
      <c r="C15" s="1">
        <v>57825</v>
      </c>
      <c r="D15" s="111">
        <f t="shared" si="0"/>
        <v>324568</v>
      </c>
      <c r="E15" s="1">
        <v>1597</v>
      </c>
      <c r="F15" s="3">
        <f t="shared" si="1"/>
        <v>15658</v>
      </c>
      <c r="G15" s="7">
        <f t="shared" si="2"/>
        <v>56228</v>
      </c>
      <c r="H15" s="2">
        <f t="shared" si="3"/>
        <v>56228</v>
      </c>
    </row>
    <row r="16" spans="1:8" ht="12.75">
      <c r="A16" s="75">
        <v>7</v>
      </c>
      <c r="B16" s="78" t="s">
        <v>152</v>
      </c>
      <c r="C16" s="1">
        <v>20844</v>
      </c>
      <c r="D16" s="111">
        <f t="shared" si="0"/>
        <v>345412</v>
      </c>
      <c r="E16" s="1">
        <v>1275</v>
      </c>
      <c r="F16" s="3">
        <f t="shared" si="1"/>
        <v>16933</v>
      </c>
      <c r="G16" s="7">
        <f t="shared" si="2"/>
        <v>19569</v>
      </c>
      <c r="H16" s="2">
        <f t="shared" si="3"/>
        <v>19569</v>
      </c>
    </row>
    <row r="17" spans="1:8" ht="12.75">
      <c r="A17" s="75">
        <v>8</v>
      </c>
      <c r="B17" s="78" t="s">
        <v>153</v>
      </c>
      <c r="C17" s="1">
        <v>43450</v>
      </c>
      <c r="D17" s="111">
        <f t="shared" si="0"/>
        <v>388862</v>
      </c>
      <c r="E17" s="1">
        <v>1899</v>
      </c>
      <c r="F17" s="3">
        <f t="shared" si="1"/>
        <v>18832</v>
      </c>
      <c r="G17" s="7">
        <f t="shared" si="2"/>
        <v>41551</v>
      </c>
      <c r="H17" s="2">
        <f t="shared" si="3"/>
        <v>41551</v>
      </c>
    </row>
    <row r="18" spans="1:8" ht="12.75">
      <c r="A18" s="75">
        <v>9</v>
      </c>
      <c r="B18" s="78" t="s">
        <v>154</v>
      </c>
      <c r="C18" s="1">
        <v>50208</v>
      </c>
      <c r="D18" s="111">
        <f t="shared" si="0"/>
        <v>439070</v>
      </c>
      <c r="E18" s="1">
        <v>5396</v>
      </c>
      <c r="F18" s="3">
        <f t="shared" si="1"/>
        <v>24228</v>
      </c>
      <c r="G18" s="7">
        <f t="shared" si="2"/>
        <v>44812</v>
      </c>
      <c r="H18" s="2">
        <f t="shared" si="3"/>
        <v>44812</v>
      </c>
    </row>
    <row r="19" spans="1:8" ht="12.75">
      <c r="A19" s="75">
        <v>10</v>
      </c>
      <c r="B19" s="78" t="s">
        <v>155</v>
      </c>
      <c r="C19" s="1">
        <v>39989</v>
      </c>
      <c r="D19" s="111">
        <f t="shared" si="0"/>
        <v>479059</v>
      </c>
      <c r="E19" s="1">
        <v>5418</v>
      </c>
      <c r="F19" s="3">
        <f t="shared" si="1"/>
        <v>29646</v>
      </c>
      <c r="G19" s="7">
        <f t="shared" si="2"/>
        <v>34571</v>
      </c>
      <c r="H19" s="2">
        <f t="shared" si="3"/>
        <v>34571</v>
      </c>
    </row>
    <row r="20" spans="1:8" ht="12.75">
      <c r="A20" s="75">
        <v>11</v>
      </c>
      <c r="B20" s="78" t="s">
        <v>156</v>
      </c>
      <c r="C20" s="86">
        <v>0</v>
      </c>
      <c r="D20" s="111">
        <f t="shared" si="0"/>
        <v>479059</v>
      </c>
      <c r="E20" s="86">
        <v>0</v>
      </c>
      <c r="F20" s="3">
        <f t="shared" si="1"/>
        <v>29646</v>
      </c>
      <c r="G20" s="7">
        <f t="shared" si="2"/>
        <v>0</v>
      </c>
      <c r="H20" s="2">
        <f t="shared" si="3"/>
        <v>0</v>
      </c>
    </row>
    <row r="21" spans="1:8" ht="12.75">
      <c r="A21" s="75">
        <v>12</v>
      </c>
      <c r="B21" s="78" t="s">
        <v>157</v>
      </c>
      <c r="C21" s="86">
        <v>0</v>
      </c>
      <c r="D21" s="111">
        <f t="shared" si="0"/>
        <v>479059</v>
      </c>
      <c r="E21" s="86">
        <v>0</v>
      </c>
      <c r="F21" s="3">
        <f t="shared" si="1"/>
        <v>29646</v>
      </c>
      <c r="G21" s="7">
        <f t="shared" si="2"/>
        <v>0</v>
      </c>
      <c r="H21" s="2">
        <f t="shared" si="3"/>
        <v>0</v>
      </c>
    </row>
    <row r="22" spans="1:8" ht="12.75">
      <c r="A22" s="75">
        <v>13</v>
      </c>
      <c r="B22" s="78" t="s">
        <v>158</v>
      </c>
      <c r="C22" s="1">
        <v>70216</v>
      </c>
      <c r="D22" s="111">
        <f t="shared" si="0"/>
        <v>549275</v>
      </c>
      <c r="E22" s="1">
        <v>21644</v>
      </c>
      <c r="F22" s="3">
        <f t="shared" si="1"/>
        <v>51290</v>
      </c>
      <c r="G22" s="7">
        <f t="shared" si="2"/>
        <v>48572</v>
      </c>
      <c r="H22" s="2">
        <f t="shared" si="3"/>
        <v>48572</v>
      </c>
    </row>
    <row r="23" spans="1:8" ht="12.75">
      <c r="A23" s="75">
        <v>14</v>
      </c>
      <c r="B23" s="78" t="s">
        <v>159</v>
      </c>
      <c r="C23" s="1">
        <v>38202</v>
      </c>
      <c r="D23" s="111">
        <f t="shared" si="0"/>
        <v>587477</v>
      </c>
      <c r="E23" s="1">
        <v>3478</v>
      </c>
      <c r="F23" s="3">
        <f t="shared" si="1"/>
        <v>54768</v>
      </c>
      <c r="G23" s="7">
        <f t="shared" si="2"/>
        <v>34724</v>
      </c>
      <c r="H23" s="2">
        <f t="shared" si="3"/>
        <v>34724</v>
      </c>
    </row>
    <row r="24" spans="1:8" ht="12.75">
      <c r="A24" s="75">
        <v>15</v>
      </c>
      <c r="B24" s="78" t="s">
        <v>160</v>
      </c>
      <c r="C24" s="1">
        <v>16174</v>
      </c>
      <c r="D24" s="111">
        <f t="shared" si="0"/>
        <v>603651</v>
      </c>
      <c r="E24" s="1">
        <v>3781</v>
      </c>
      <c r="F24" s="3">
        <f t="shared" si="1"/>
        <v>58549</v>
      </c>
      <c r="G24" s="7">
        <f t="shared" si="2"/>
        <v>12393</v>
      </c>
      <c r="H24" s="2">
        <f t="shared" si="3"/>
        <v>12393</v>
      </c>
    </row>
    <row r="25" spans="1:8" ht="12.75">
      <c r="A25" s="75">
        <v>16</v>
      </c>
      <c r="B25" s="78" t="s">
        <v>161</v>
      </c>
      <c r="C25" s="1">
        <v>11342</v>
      </c>
      <c r="D25" s="111">
        <f t="shared" si="0"/>
        <v>614993</v>
      </c>
      <c r="E25" s="1">
        <v>9079</v>
      </c>
      <c r="F25" s="3">
        <f t="shared" si="1"/>
        <v>67628</v>
      </c>
      <c r="G25" s="7">
        <f t="shared" si="2"/>
        <v>2263</v>
      </c>
      <c r="H25" s="2">
        <f t="shared" si="3"/>
        <v>2263</v>
      </c>
    </row>
    <row r="26" spans="1:14" ht="12.75">
      <c r="A26" s="75">
        <v>17</v>
      </c>
      <c r="B26" s="78" t="s">
        <v>162</v>
      </c>
      <c r="C26" s="1">
        <v>21398</v>
      </c>
      <c r="D26" s="111">
        <f t="shared" si="0"/>
        <v>636391</v>
      </c>
      <c r="E26" s="1">
        <v>5641</v>
      </c>
      <c r="F26" s="3">
        <f t="shared" si="1"/>
        <v>73269</v>
      </c>
      <c r="G26" s="7">
        <f t="shared" si="2"/>
        <v>15757</v>
      </c>
      <c r="H26" s="2">
        <f t="shared" si="3"/>
        <v>15757</v>
      </c>
      <c r="N26" s="110"/>
    </row>
    <row r="27" spans="1:8" ht="12.75">
      <c r="A27" s="75">
        <v>18</v>
      </c>
      <c r="B27" s="78" t="s">
        <v>163</v>
      </c>
      <c r="C27" s="1">
        <v>26588</v>
      </c>
      <c r="D27" s="111">
        <f t="shared" si="0"/>
        <v>662979</v>
      </c>
      <c r="E27" s="1">
        <v>7373</v>
      </c>
      <c r="F27" s="3">
        <f t="shared" si="1"/>
        <v>80642</v>
      </c>
      <c r="G27" s="7">
        <f t="shared" si="2"/>
        <v>19215</v>
      </c>
      <c r="H27" s="2">
        <f t="shared" si="3"/>
        <v>19215</v>
      </c>
    </row>
    <row r="28" spans="1:8" ht="12.75">
      <c r="A28" s="75">
        <v>19</v>
      </c>
      <c r="B28" s="78" t="s">
        <v>164</v>
      </c>
      <c r="C28" s="1">
        <v>38816</v>
      </c>
      <c r="D28" s="111">
        <f t="shared" si="0"/>
        <v>701795</v>
      </c>
      <c r="E28" s="1">
        <v>5518</v>
      </c>
      <c r="F28" s="3">
        <f t="shared" si="1"/>
        <v>86160</v>
      </c>
      <c r="G28" s="7">
        <f t="shared" si="2"/>
        <v>33298</v>
      </c>
      <c r="H28" s="2">
        <f t="shared" si="3"/>
        <v>33298</v>
      </c>
    </row>
    <row r="29" spans="1:8" ht="12.75">
      <c r="A29" s="75">
        <v>20</v>
      </c>
      <c r="B29" s="78" t="s">
        <v>165</v>
      </c>
      <c r="C29" s="1">
        <v>16307</v>
      </c>
      <c r="D29" s="111">
        <f t="shared" si="0"/>
        <v>718102</v>
      </c>
      <c r="E29" s="1">
        <v>5700</v>
      </c>
      <c r="F29" s="3">
        <f t="shared" si="1"/>
        <v>91860</v>
      </c>
      <c r="G29" s="7">
        <f t="shared" si="2"/>
        <v>10607</v>
      </c>
      <c r="H29" s="2">
        <f t="shared" si="3"/>
        <v>10607</v>
      </c>
    </row>
    <row r="30" spans="1:8" ht="12.75">
      <c r="A30" s="75">
        <v>21</v>
      </c>
      <c r="B30" s="78" t="s">
        <v>166</v>
      </c>
      <c r="C30" s="1">
        <v>47028</v>
      </c>
      <c r="D30" s="111">
        <f t="shared" si="0"/>
        <v>765130</v>
      </c>
      <c r="E30" s="1">
        <v>3991</v>
      </c>
      <c r="F30" s="3">
        <f t="shared" si="1"/>
        <v>95851</v>
      </c>
      <c r="G30" s="7">
        <f t="shared" si="2"/>
        <v>43037</v>
      </c>
      <c r="H30" s="2">
        <f t="shared" si="3"/>
        <v>43037</v>
      </c>
    </row>
    <row r="31" spans="1:8" ht="12.75">
      <c r="A31" s="75">
        <v>22</v>
      </c>
      <c r="B31" s="78" t="s">
        <v>167</v>
      </c>
      <c r="C31" s="1">
        <v>62318</v>
      </c>
      <c r="D31" s="111">
        <f t="shared" si="0"/>
        <v>827448</v>
      </c>
      <c r="E31" s="1">
        <v>4175</v>
      </c>
      <c r="F31" s="3">
        <f t="shared" si="1"/>
        <v>100026</v>
      </c>
      <c r="G31" s="7">
        <f t="shared" si="2"/>
        <v>58143</v>
      </c>
      <c r="H31" s="2">
        <f t="shared" si="3"/>
        <v>58143</v>
      </c>
    </row>
    <row r="32" spans="1:8" ht="12.75">
      <c r="A32" s="75">
        <v>23</v>
      </c>
      <c r="B32" s="78" t="s">
        <v>168</v>
      </c>
      <c r="C32" s="1">
        <v>38824</v>
      </c>
      <c r="D32" s="111">
        <f t="shared" si="0"/>
        <v>866272</v>
      </c>
      <c r="E32" s="1">
        <v>8913</v>
      </c>
      <c r="F32" s="3">
        <f t="shared" si="1"/>
        <v>108939</v>
      </c>
      <c r="G32" s="7">
        <f t="shared" si="2"/>
        <v>29911</v>
      </c>
      <c r="H32" s="2">
        <f t="shared" si="3"/>
        <v>29911</v>
      </c>
    </row>
    <row r="33" spans="1:8" ht="12.75">
      <c r="A33" s="75">
        <v>24</v>
      </c>
      <c r="B33" s="78" t="s">
        <v>169</v>
      </c>
      <c r="C33" s="1">
        <v>76673</v>
      </c>
      <c r="D33" s="111">
        <f t="shared" si="0"/>
        <v>942945</v>
      </c>
      <c r="E33" s="1">
        <v>9257</v>
      </c>
      <c r="F33" s="3">
        <f t="shared" si="1"/>
        <v>118196</v>
      </c>
      <c r="G33" s="7">
        <f t="shared" si="2"/>
        <v>67416</v>
      </c>
      <c r="H33" s="2">
        <f t="shared" si="3"/>
        <v>67416</v>
      </c>
    </row>
    <row r="34" spans="1:8" ht="12.75">
      <c r="A34" s="75">
        <v>25</v>
      </c>
      <c r="B34" s="78" t="s">
        <v>170</v>
      </c>
      <c r="C34" s="1">
        <v>21119</v>
      </c>
      <c r="D34" s="111">
        <f t="shared" si="0"/>
        <v>964064</v>
      </c>
      <c r="E34" s="1">
        <v>6580</v>
      </c>
      <c r="F34" s="3">
        <f t="shared" si="1"/>
        <v>124776</v>
      </c>
      <c r="G34" s="7">
        <f t="shared" si="2"/>
        <v>14539</v>
      </c>
      <c r="H34" s="2">
        <f t="shared" si="3"/>
        <v>14539</v>
      </c>
    </row>
    <row r="35" spans="1:8" ht="12.75">
      <c r="A35" s="75">
        <v>26</v>
      </c>
      <c r="B35" s="78" t="s">
        <v>171</v>
      </c>
      <c r="C35" s="1">
        <v>79275</v>
      </c>
      <c r="D35" s="111">
        <f t="shared" si="0"/>
        <v>1043339</v>
      </c>
      <c r="E35" s="1">
        <v>8586</v>
      </c>
      <c r="F35" s="3">
        <f t="shared" si="1"/>
        <v>133362</v>
      </c>
      <c r="G35" s="7">
        <f t="shared" si="2"/>
        <v>70689</v>
      </c>
      <c r="H35" s="2">
        <f t="shared" si="3"/>
        <v>70689</v>
      </c>
    </row>
    <row r="36" spans="1:8" ht="12.75">
      <c r="A36" s="75">
        <v>27</v>
      </c>
      <c r="B36" s="78" t="s">
        <v>172</v>
      </c>
      <c r="C36" s="1">
        <v>75304</v>
      </c>
      <c r="D36" s="111">
        <f t="shared" si="0"/>
        <v>1118643</v>
      </c>
      <c r="E36" s="1">
        <v>4833</v>
      </c>
      <c r="F36" s="3">
        <f t="shared" si="1"/>
        <v>138195</v>
      </c>
      <c r="G36" s="7">
        <f t="shared" si="2"/>
        <v>70471</v>
      </c>
      <c r="H36" s="2">
        <f t="shared" si="3"/>
        <v>70471</v>
      </c>
    </row>
    <row r="37" spans="1:8" ht="12.75">
      <c r="A37" s="75">
        <v>28</v>
      </c>
      <c r="B37" s="78" t="s">
        <v>174</v>
      </c>
      <c r="C37" s="1">
        <v>30880</v>
      </c>
      <c r="D37" s="111">
        <f t="shared" si="0"/>
        <v>1149523</v>
      </c>
      <c r="E37" s="1">
        <v>7304</v>
      </c>
      <c r="F37" s="3">
        <f t="shared" si="1"/>
        <v>145499</v>
      </c>
      <c r="G37" s="7">
        <f t="shared" si="2"/>
        <v>23576</v>
      </c>
      <c r="H37" s="2">
        <f t="shared" si="3"/>
        <v>23576</v>
      </c>
    </row>
    <row r="38" spans="1:8" ht="12.75">
      <c r="A38" s="75">
        <v>29</v>
      </c>
      <c r="B38" s="78" t="s">
        <v>173</v>
      </c>
      <c r="C38" s="1">
        <v>55657</v>
      </c>
      <c r="D38" s="111">
        <f t="shared" si="0"/>
        <v>1205180</v>
      </c>
      <c r="E38" s="1">
        <v>8961</v>
      </c>
      <c r="F38" s="3">
        <f t="shared" si="1"/>
        <v>154460</v>
      </c>
      <c r="G38" s="7">
        <f t="shared" si="2"/>
        <v>46696</v>
      </c>
      <c r="H38" s="2">
        <f t="shared" si="3"/>
        <v>46696</v>
      </c>
    </row>
    <row r="39" spans="1:8" ht="12.75">
      <c r="A39" s="75">
        <v>30</v>
      </c>
      <c r="B39" s="78" t="s">
        <v>175</v>
      </c>
      <c r="C39" s="1">
        <v>25666</v>
      </c>
      <c r="D39" s="111">
        <f t="shared" si="0"/>
        <v>1230846</v>
      </c>
      <c r="E39" s="1">
        <v>7415</v>
      </c>
      <c r="F39" s="3">
        <f t="shared" si="1"/>
        <v>161875</v>
      </c>
      <c r="G39" s="7">
        <f t="shared" si="2"/>
        <v>18251</v>
      </c>
      <c r="H39" s="2">
        <f t="shared" si="3"/>
        <v>18251</v>
      </c>
    </row>
    <row r="40" spans="1:8" ht="12.75">
      <c r="A40" s="75">
        <v>31</v>
      </c>
      <c r="B40" s="78" t="s">
        <v>176</v>
      </c>
      <c r="C40" s="1">
        <v>31202</v>
      </c>
      <c r="D40" s="111">
        <f t="shared" si="0"/>
        <v>1262048</v>
      </c>
      <c r="E40" s="1">
        <v>5132</v>
      </c>
      <c r="F40" s="3">
        <f t="shared" si="1"/>
        <v>167007</v>
      </c>
      <c r="G40" s="7">
        <f t="shared" si="2"/>
        <v>26070</v>
      </c>
      <c r="H40" s="2">
        <f t="shared" si="3"/>
        <v>26070</v>
      </c>
    </row>
    <row r="41" spans="1:8" ht="12.75">
      <c r="A41" s="75">
        <v>32</v>
      </c>
      <c r="B41" s="78" t="s">
        <v>177</v>
      </c>
      <c r="C41" s="1">
        <v>12250</v>
      </c>
      <c r="D41" s="111">
        <f t="shared" si="0"/>
        <v>1274298</v>
      </c>
      <c r="E41" s="1">
        <v>5516</v>
      </c>
      <c r="F41" s="3">
        <f t="shared" si="1"/>
        <v>172523</v>
      </c>
      <c r="G41" s="7">
        <f t="shared" si="2"/>
        <v>6734</v>
      </c>
      <c r="H41" s="2">
        <f t="shared" si="3"/>
        <v>6734</v>
      </c>
    </row>
    <row r="42" spans="1:8" ht="12.75">
      <c r="A42" s="75">
        <v>33</v>
      </c>
      <c r="B42" s="78" t="s">
        <v>178</v>
      </c>
      <c r="C42" s="1">
        <v>0</v>
      </c>
      <c r="D42" s="111">
        <f t="shared" si="0"/>
        <v>1274298</v>
      </c>
      <c r="E42" s="1">
        <v>5316</v>
      </c>
      <c r="F42" s="3">
        <f t="shared" si="1"/>
        <v>177839</v>
      </c>
      <c r="G42" s="7">
        <f t="shared" si="2"/>
        <v>-5316</v>
      </c>
      <c r="H42" s="2">
        <f t="shared" si="3"/>
        <v>-5316</v>
      </c>
    </row>
    <row r="43" spans="1:8" ht="12.75">
      <c r="A43" s="75">
        <v>34</v>
      </c>
      <c r="B43" s="78" t="s">
        <v>179</v>
      </c>
      <c r="C43" s="1">
        <v>0</v>
      </c>
      <c r="D43" s="111">
        <f t="shared" si="0"/>
        <v>1274298</v>
      </c>
      <c r="E43" s="1">
        <v>8022</v>
      </c>
      <c r="F43" s="3">
        <f t="shared" si="1"/>
        <v>185861</v>
      </c>
      <c r="G43" s="7">
        <f t="shared" si="2"/>
        <v>-8022</v>
      </c>
      <c r="H43" s="2">
        <f t="shared" si="3"/>
        <v>-8022</v>
      </c>
    </row>
    <row r="44" spans="1:8" ht="12.75">
      <c r="A44" s="75">
        <v>35</v>
      </c>
      <c r="B44" s="78" t="s">
        <v>180</v>
      </c>
      <c r="C44" s="1">
        <v>24813</v>
      </c>
      <c r="D44" s="111">
        <f t="shared" si="0"/>
        <v>1299111</v>
      </c>
      <c r="E44" s="1">
        <v>8025</v>
      </c>
      <c r="F44" s="3">
        <f t="shared" si="1"/>
        <v>193886</v>
      </c>
      <c r="G44" s="7">
        <f t="shared" si="2"/>
        <v>16788</v>
      </c>
      <c r="H44" s="2">
        <f t="shared" si="3"/>
        <v>16788</v>
      </c>
    </row>
    <row r="45" spans="1:8" ht="12.75">
      <c r="A45" s="75">
        <v>36</v>
      </c>
      <c r="B45" s="78" t="s">
        <v>181</v>
      </c>
      <c r="C45" s="1">
        <v>0</v>
      </c>
      <c r="D45" s="111">
        <f t="shared" si="0"/>
        <v>1299111</v>
      </c>
      <c r="E45" s="1">
        <v>6565</v>
      </c>
      <c r="F45" s="3">
        <f t="shared" si="1"/>
        <v>200451</v>
      </c>
      <c r="G45" s="7">
        <f t="shared" si="2"/>
        <v>-6565</v>
      </c>
      <c r="H45" s="2">
        <f t="shared" si="3"/>
        <v>-6565</v>
      </c>
    </row>
    <row r="46" spans="1:8" ht="12.75">
      <c r="A46" s="75">
        <v>37</v>
      </c>
      <c r="B46" s="78" t="s">
        <v>182</v>
      </c>
      <c r="C46" s="1">
        <v>3001</v>
      </c>
      <c r="D46" s="111">
        <f t="shared" si="0"/>
        <v>1302112</v>
      </c>
      <c r="E46" s="1">
        <v>7900</v>
      </c>
      <c r="F46" s="3">
        <f t="shared" si="1"/>
        <v>208351</v>
      </c>
      <c r="G46" s="7">
        <f t="shared" si="2"/>
        <v>-4899</v>
      </c>
      <c r="H46" s="2">
        <f t="shared" si="3"/>
        <v>-4899</v>
      </c>
    </row>
    <row r="47" spans="1:8" ht="12.75">
      <c r="A47" s="75">
        <v>38</v>
      </c>
      <c r="B47" s="78" t="s">
        <v>183</v>
      </c>
      <c r="C47" s="1">
        <v>34793</v>
      </c>
      <c r="D47" s="111">
        <f t="shared" si="0"/>
        <v>1336905</v>
      </c>
      <c r="E47" s="1">
        <v>7726</v>
      </c>
      <c r="F47" s="3">
        <f t="shared" si="1"/>
        <v>216077</v>
      </c>
      <c r="G47" s="7">
        <f t="shared" si="2"/>
        <v>27067</v>
      </c>
      <c r="H47" s="2">
        <f t="shared" si="3"/>
        <v>27067</v>
      </c>
    </row>
    <row r="48" spans="1:8" ht="12.75">
      <c r="A48" s="75">
        <v>39</v>
      </c>
      <c r="B48" s="78" t="s">
        <v>185</v>
      </c>
      <c r="C48" s="1">
        <v>64001</v>
      </c>
      <c r="D48" s="111">
        <f t="shared" si="0"/>
        <v>1400906</v>
      </c>
      <c r="E48" s="1">
        <v>6532</v>
      </c>
      <c r="F48" s="3">
        <f t="shared" si="1"/>
        <v>222609</v>
      </c>
      <c r="G48" s="7">
        <f t="shared" si="2"/>
        <v>57469</v>
      </c>
      <c r="H48" s="2">
        <f t="shared" si="3"/>
        <v>57469</v>
      </c>
    </row>
    <row r="49" spans="1:8" ht="12.75">
      <c r="A49" s="75">
        <v>40</v>
      </c>
      <c r="B49" s="78" t="s">
        <v>186</v>
      </c>
      <c r="C49" s="1">
        <v>78035</v>
      </c>
      <c r="D49" s="111">
        <f t="shared" si="0"/>
        <v>1478941</v>
      </c>
      <c r="E49" s="1">
        <v>4675</v>
      </c>
      <c r="F49" s="3">
        <f t="shared" si="1"/>
        <v>227284</v>
      </c>
      <c r="G49" s="7">
        <f t="shared" si="2"/>
        <v>73360</v>
      </c>
      <c r="H49" s="2">
        <f t="shared" si="3"/>
        <v>73360</v>
      </c>
    </row>
    <row r="50" spans="1:8" ht="12.75">
      <c r="A50" s="75">
        <v>41</v>
      </c>
      <c r="B50" s="78" t="s">
        <v>187</v>
      </c>
      <c r="C50" s="1">
        <v>10857</v>
      </c>
      <c r="D50" s="111">
        <f t="shared" si="0"/>
        <v>1489798</v>
      </c>
      <c r="E50" s="1">
        <v>4368</v>
      </c>
      <c r="F50" s="3">
        <f t="shared" si="1"/>
        <v>231652</v>
      </c>
      <c r="G50" s="7">
        <f t="shared" si="2"/>
        <v>6489</v>
      </c>
      <c r="H50" s="2">
        <f t="shared" si="3"/>
        <v>6489</v>
      </c>
    </row>
    <row r="51" spans="1:8" ht="12.75">
      <c r="A51" s="75">
        <v>42</v>
      </c>
      <c r="B51" s="78" t="s">
        <v>188</v>
      </c>
      <c r="C51" s="1">
        <v>8704</v>
      </c>
      <c r="D51" s="111">
        <f t="shared" si="0"/>
        <v>1498502</v>
      </c>
      <c r="E51" s="1">
        <v>3990</v>
      </c>
      <c r="F51" s="3">
        <f t="shared" si="1"/>
        <v>235642</v>
      </c>
      <c r="G51" s="7">
        <f t="shared" si="2"/>
        <v>4714</v>
      </c>
      <c r="H51" s="2">
        <f t="shared" si="3"/>
        <v>4714</v>
      </c>
    </row>
    <row r="52" spans="1:8" ht="12.75">
      <c r="A52" s="75">
        <v>43</v>
      </c>
      <c r="B52" s="78"/>
      <c r="C52" s="1"/>
      <c r="D52" s="111"/>
      <c r="E52" s="1"/>
      <c r="F52" s="3"/>
      <c r="G52" s="7">
        <f t="shared" si="2"/>
        <v>0</v>
      </c>
      <c r="H52" s="2">
        <f t="shared" si="3"/>
        <v>0</v>
      </c>
    </row>
    <row r="53" spans="1:8" ht="12.75">
      <c r="A53" s="75">
        <v>44</v>
      </c>
      <c r="B53" s="78"/>
      <c r="C53" s="1"/>
      <c r="D53" s="111"/>
      <c r="E53" s="1"/>
      <c r="F53" s="3"/>
      <c r="G53" s="7">
        <f t="shared" si="2"/>
        <v>0</v>
      </c>
      <c r="H53" s="2">
        <f t="shared" si="3"/>
        <v>0</v>
      </c>
    </row>
    <row r="54" spans="1:8" ht="12.75">
      <c r="A54" s="75">
        <v>45</v>
      </c>
      <c r="B54" s="78"/>
      <c r="C54" s="1"/>
      <c r="D54" s="111"/>
      <c r="E54" s="1"/>
      <c r="F54" s="3"/>
      <c r="G54" s="7">
        <f t="shared" si="2"/>
        <v>0</v>
      </c>
      <c r="H54" s="2">
        <f t="shared" si="3"/>
        <v>0</v>
      </c>
    </row>
    <row r="55" spans="1:8" ht="12.75">
      <c r="A55" s="75">
        <v>46</v>
      </c>
      <c r="B55" s="78"/>
      <c r="C55" s="1"/>
      <c r="D55" s="111"/>
      <c r="E55" s="1"/>
      <c r="F55" s="3"/>
      <c r="G55" s="7">
        <f t="shared" si="2"/>
        <v>0</v>
      </c>
      <c r="H55" s="2">
        <f t="shared" si="3"/>
        <v>0</v>
      </c>
    </row>
    <row r="56" spans="1:8" ht="12.75">
      <c r="A56" s="75">
        <v>47</v>
      </c>
      <c r="B56" s="78"/>
      <c r="C56" s="1"/>
      <c r="D56" s="111"/>
      <c r="E56" s="1"/>
      <c r="F56" s="3"/>
      <c r="G56" s="7">
        <f t="shared" si="2"/>
        <v>0</v>
      </c>
      <c r="H56" s="2">
        <f t="shared" si="3"/>
        <v>0</v>
      </c>
    </row>
    <row r="57" spans="1:8" ht="12.75">
      <c r="A57" s="75">
        <v>48</v>
      </c>
      <c r="B57" s="78"/>
      <c r="C57" s="1"/>
      <c r="D57" s="111"/>
      <c r="E57" s="1"/>
      <c r="F57" s="3"/>
      <c r="G57" s="7">
        <f t="shared" si="2"/>
        <v>0</v>
      </c>
      <c r="H57" s="2">
        <f t="shared" si="3"/>
        <v>0</v>
      </c>
    </row>
    <row r="58" spans="1:8" ht="12.75">
      <c r="A58" s="75">
        <v>49</v>
      </c>
      <c r="B58" s="78"/>
      <c r="C58" s="1"/>
      <c r="D58" s="111"/>
      <c r="E58" s="1"/>
      <c r="F58" s="3"/>
      <c r="G58" s="7">
        <f t="shared" si="2"/>
        <v>0</v>
      </c>
      <c r="H58" s="2">
        <f t="shared" si="3"/>
        <v>0</v>
      </c>
    </row>
    <row r="59" spans="1:8" ht="12.75">
      <c r="A59" s="75">
        <v>50</v>
      </c>
      <c r="B59" s="78"/>
      <c r="C59" s="1"/>
      <c r="D59" s="111"/>
      <c r="E59" s="1"/>
      <c r="F59" s="3"/>
      <c r="G59" s="7">
        <f t="shared" si="2"/>
        <v>0</v>
      </c>
      <c r="H59" s="2">
        <f t="shared" si="3"/>
        <v>0</v>
      </c>
    </row>
    <row r="60" spans="1:8" ht="12.75">
      <c r="A60" s="75">
        <v>51</v>
      </c>
      <c r="B60" s="78"/>
      <c r="C60" s="1"/>
      <c r="D60" s="111"/>
      <c r="E60" s="1"/>
      <c r="F60" s="3"/>
      <c r="G60" s="7">
        <f t="shared" si="2"/>
        <v>0</v>
      </c>
      <c r="H60" s="2">
        <f t="shared" si="3"/>
        <v>0</v>
      </c>
    </row>
    <row r="61" spans="1:8" ht="13.5" thickBot="1">
      <c r="A61" s="75">
        <v>52</v>
      </c>
      <c r="B61" s="82"/>
      <c r="C61" s="80"/>
      <c r="D61" s="112"/>
      <c r="E61" s="80"/>
      <c r="F61" s="113"/>
      <c r="G61" s="79">
        <f t="shared" si="2"/>
        <v>0</v>
      </c>
      <c r="H61" s="79">
        <f t="shared" si="3"/>
        <v>0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10.421875" style="15" customWidth="1"/>
    <col min="2" max="2" width="10.00390625" style="15" customWidth="1"/>
    <col min="3" max="3" width="10.7109375" style="15" customWidth="1"/>
    <col min="4" max="4" width="13.140625" style="15" customWidth="1"/>
    <col min="5" max="5" width="10.28125" style="15" customWidth="1"/>
    <col min="6" max="6" width="9.57421875" style="15" bestFit="1" customWidth="1"/>
    <col min="7" max="7" width="10.00390625" style="15" customWidth="1"/>
    <col min="8" max="8" width="10.28125" style="15" bestFit="1" customWidth="1"/>
    <col min="9" max="14" width="12.00390625" style="15" customWidth="1"/>
    <col min="15" max="15" width="27.28125" style="15" bestFit="1" customWidth="1"/>
    <col min="16" max="16" width="14.00390625" style="15" bestFit="1" customWidth="1"/>
    <col min="17" max="16384" width="9.140625" style="15" customWidth="1"/>
  </cols>
  <sheetData>
    <row r="1" ht="12.75">
      <c r="A1" s="16" t="s">
        <v>42</v>
      </c>
    </row>
    <row r="2" ht="12.75">
      <c r="A2" s="14" t="s">
        <v>43</v>
      </c>
    </row>
    <row r="4" ht="12.75">
      <c r="A4" s="16" t="s">
        <v>3</v>
      </c>
    </row>
    <row r="5" ht="12.75">
      <c r="A5" s="16"/>
    </row>
    <row r="6" spans="1:2" ht="12.75">
      <c r="A6" s="15" t="s">
        <v>56</v>
      </c>
      <c r="B6" s="81" t="s">
        <v>78</v>
      </c>
    </row>
    <row r="7" spans="1:2" ht="12.75">
      <c r="A7" s="15" t="s">
        <v>31</v>
      </c>
      <c r="B7" s="15" t="s">
        <v>27</v>
      </c>
    </row>
    <row r="8" spans="1:5" ht="13.5" thickBot="1">
      <c r="A8" s="15" t="s">
        <v>25</v>
      </c>
      <c r="B8" s="18" t="s">
        <v>28</v>
      </c>
      <c r="C8" s="18"/>
      <c r="D8" s="18"/>
      <c r="E8" s="18"/>
    </row>
    <row r="9" spans="1:16" ht="12.75">
      <c r="A9" s="15" t="s">
        <v>26</v>
      </c>
      <c r="B9" s="18" t="s">
        <v>58</v>
      </c>
      <c r="C9" s="18"/>
      <c r="D9" s="18"/>
      <c r="E9" s="17"/>
      <c r="O9" s="19" t="s">
        <v>41</v>
      </c>
      <c r="P9" s="20">
        <v>42</v>
      </c>
    </row>
    <row r="10" spans="1:16" ht="13.5" thickBot="1">
      <c r="A10" s="15" t="s">
        <v>59</v>
      </c>
      <c r="B10" s="18" t="s">
        <v>57</v>
      </c>
      <c r="C10" s="18"/>
      <c r="D10" s="18"/>
      <c r="E10" s="21"/>
      <c r="O10" s="22" t="s">
        <v>40</v>
      </c>
      <c r="P10" s="23">
        <f>51-P9</f>
        <v>9</v>
      </c>
    </row>
    <row r="11" spans="1:5" ht="12.75">
      <c r="A11" s="15" t="s">
        <v>60</v>
      </c>
      <c r="B11" s="18" t="s">
        <v>63</v>
      </c>
      <c r="C11" s="18"/>
      <c r="D11" s="18"/>
      <c r="E11" s="21"/>
    </row>
    <row r="12" spans="1:5" ht="12.75">
      <c r="A12" s="15" t="s">
        <v>62</v>
      </c>
      <c r="B12" s="17" t="s">
        <v>67</v>
      </c>
      <c r="C12" s="17"/>
      <c r="D12" s="17"/>
      <c r="E12" s="21"/>
    </row>
    <row r="13" spans="1:5" ht="12.75">
      <c r="A13" s="15" t="s">
        <v>68</v>
      </c>
      <c r="B13" s="17" t="s">
        <v>69</v>
      </c>
      <c r="C13" s="17"/>
      <c r="D13" s="17"/>
      <c r="E13" s="21">
        <v>40450</v>
      </c>
    </row>
    <row r="14" spans="1:5" ht="12.75">
      <c r="A14" s="15" t="s">
        <v>71</v>
      </c>
      <c r="B14" s="17" t="s">
        <v>72</v>
      </c>
      <c r="C14" s="17"/>
      <c r="D14" s="17"/>
      <c r="E14" s="21">
        <v>40816</v>
      </c>
    </row>
    <row r="15" spans="1:5" ht="12.75">
      <c r="A15" s="15" t="s">
        <v>74</v>
      </c>
      <c r="B15" s="17" t="s">
        <v>75</v>
      </c>
      <c r="C15" s="17"/>
      <c r="D15" s="17"/>
      <c r="E15" s="21">
        <v>41180</v>
      </c>
    </row>
    <row r="16" spans="1:5" ht="12.75">
      <c r="A16" s="81" t="s">
        <v>79</v>
      </c>
      <c r="B16" s="83" t="s">
        <v>80</v>
      </c>
      <c r="C16" s="17"/>
      <c r="D16" s="17"/>
      <c r="E16" s="85">
        <v>41544</v>
      </c>
    </row>
    <row r="17" spans="1:5" ht="12.75">
      <c r="A17" s="81" t="s">
        <v>83</v>
      </c>
      <c r="B17" s="83" t="s">
        <v>94</v>
      </c>
      <c r="C17" s="17"/>
      <c r="D17" s="17"/>
      <c r="E17" s="85">
        <v>41908</v>
      </c>
    </row>
    <row r="18" spans="1:5" ht="13.5" thickBot="1">
      <c r="A18" s="81" t="s">
        <v>143</v>
      </c>
      <c r="B18" s="83" t="s">
        <v>144</v>
      </c>
      <c r="C18" s="17"/>
      <c r="D18" s="17"/>
      <c r="E18" s="85">
        <v>42202</v>
      </c>
    </row>
    <row r="19" spans="1:15" ht="13.5" thickBot="1">
      <c r="A19" s="42" t="s">
        <v>30</v>
      </c>
      <c r="B19" s="121" t="s">
        <v>32</v>
      </c>
      <c r="C19" s="122"/>
      <c r="D19" s="122"/>
      <c r="E19" s="43">
        <f>E17</f>
        <v>41908</v>
      </c>
      <c r="F19" s="44"/>
      <c r="G19" s="44"/>
      <c r="H19" s="44"/>
      <c r="I19" s="44"/>
      <c r="J19" s="44"/>
      <c r="K19" s="44"/>
      <c r="L19" s="44"/>
      <c r="M19" s="44"/>
      <c r="N19" s="45"/>
      <c r="O19" s="24"/>
    </row>
    <row r="20" spans="1:16" s="16" customFormat="1" ht="13.5" thickBot="1">
      <c r="A20" s="42" t="s">
        <v>29</v>
      </c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16"/>
      <c r="M20" s="116"/>
      <c r="N20" s="117"/>
      <c r="O20" s="121" t="s">
        <v>50</v>
      </c>
      <c r="P20" s="123"/>
    </row>
    <row r="21" spans="1:16" ht="13.5" thickBot="1">
      <c r="A21" s="105"/>
      <c r="B21" s="100" t="s">
        <v>18</v>
      </c>
      <c r="C21" s="101" t="s">
        <v>17</v>
      </c>
      <c r="D21" s="101" t="s">
        <v>20</v>
      </c>
      <c r="E21" s="102" t="s">
        <v>23</v>
      </c>
      <c r="F21" s="101" t="s">
        <v>51</v>
      </c>
      <c r="G21" s="103" t="s">
        <v>54</v>
      </c>
      <c r="H21" s="99" t="s">
        <v>61</v>
      </c>
      <c r="I21" s="104" t="s">
        <v>66</v>
      </c>
      <c r="J21" s="104" t="s">
        <v>71</v>
      </c>
      <c r="K21" s="103" t="s">
        <v>74</v>
      </c>
      <c r="L21" s="100" t="s">
        <v>79</v>
      </c>
      <c r="M21" s="99" t="s">
        <v>83</v>
      </c>
      <c r="N21" s="99" t="s">
        <v>143</v>
      </c>
      <c r="O21" s="27" t="s">
        <v>36</v>
      </c>
      <c r="P21" s="26">
        <f>M40/P9</f>
        <v>39443.142857142855</v>
      </c>
    </row>
    <row r="22" spans="1:16" ht="12.75">
      <c r="A22" s="46" t="s">
        <v>12</v>
      </c>
      <c r="B22" s="48"/>
      <c r="C22" s="50"/>
      <c r="D22" s="52"/>
      <c r="E22" s="50"/>
      <c r="F22" s="56"/>
      <c r="G22" s="50"/>
      <c r="H22" s="56"/>
      <c r="I22" s="54"/>
      <c r="J22" s="28"/>
      <c r="K22" s="96"/>
      <c r="L22" s="106">
        <f>288</f>
        <v>288</v>
      </c>
      <c r="M22" s="56"/>
      <c r="N22" s="56"/>
      <c r="O22" s="38" t="s">
        <v>37</v>
      </c>
      <c r="P22" s="29">
        <f>1*P21</f>
        <v>39443.142857142855</v>
      </c>
    </row>
    <row r="23" spans="1:16" ht="12.75">
      <c r="A23" s="47" t="s">
        <v>11</v>
      </c>
      <c r="B23" s="49"/>
      <c r="C23" s="51"/>
      <c r="D23" s="53"/>
      <c r="E23" s="51"/>
      <c r="F23" s="53"/>
      <c r="G23" s="51"/>
      <c r="H23" s="53"/>
      <c r="I23" s="55"/>
      <c r="J23" s="31"/>
      <c r="K23" s="97"/>
      <c r="L23" s="107">
        <f>106+278</f>
        <v>384</v>
      </c>
      <c r="M23" s="53"/>
      <c r="N23" s="53"/>
      <c r="O23" s="38"/>
      <c r="P23" s="32"/>
    </row>
    <row r="24" spans="1:16" ht="12.75">
      <c r="A24" s="47" t="s">
        <v>4</v>
      </c>
      <c r="B24" s="49" t="s">
        <v>0</v>
      </c>
      <c r="C24" s="51">
        <f>383710+11574+18145</f>
        <v>413429</v>
      </c>
      <c r="D24" s="53">
        <f>23707+11660+16810+22498+18515+20763+8366+6437+17854+27033+5767+960+104177</f>
        <v>284547</v>
      </c>
      <c r="E24" s="51">
        <f>7158+6302+1385+23292+1074+8500+7888+7087+17536+25000+11750</f>
        <v>116972</v>
      </c>
      <c r="F24" s="87">
        <f>30695+20109+9297+24369+23267+15469+10019+13945+12000+14465+17199+3688+10055+4998+8777+5433+5910+6571</f>
        <v>236266</v>
      </c>
      <c r="G24" s="51">
        <f>6975+517+17523+9977+24648+15873+4756+11888+17368+32282+16100+27193+11610+15165+13045+77466+11127+12100+16418+31906+30465-926</f>
        <v>403476</v>
      </c>
      <c r="H24" s="53">
        <f>26607+23467+36337+22435</f>
        <v>108846</v>
      </c>
      <c r="I24" s="55">
        <f>17068+4193+3945+23081+26992+17014+6044+3110+4942+27000+31941</f>
        <v>165330</v>
      </c>
      <c r="J24" s="31">
        <f>29836+4292+11816+10000+17553+5701+6358+37587+10000+30908+12216+18751+28983+16500+10000+21077+7395+13511+12039+43857+5920+7954+51190+11681+42334+8545+8807+10000+3054+18456+7500+8572+53907</f>
        <v>586300</v>
      </c>
      <c r="K24" s="97">
        <f>19464+601+6205+12620+15684+58341</f>
        <v>112915</v>
      </c>
      <c r="L24" s="107">
        <f>22942+5289+7758+6583</f>
        <v>42572</v>
      </c>
      <c r="M24" s="53">
        <f>10417+7985+13274+507+10495+7258+3526+6307</f>
        <v>59769</v>
      </c>
      <c r="N24" s="53">
        <f>9025+10253+2532</f>
        <v>21810</v>
      </c>
      <c r="O24" s="30" t="s">
        <v>38</v>
      </c>
      <c r="P24" s="33">
        <f>M61/P9</f>
        <v>6045.238095238095</v>
      </c>
    </row>
    <row r="25" spans="1:16" ht="13.5" thickBot="1">
      <c r="A25" s="47" t="s">
        <v>22</v>
      </c>
      <c r="B25" s="49"/>
      <c r="C25" s="51"/>
      <c r="D25" s="53">
        <f>24250+10120</f>
        <v>34370</v>
      </c>
      <c r="E25" s="51">
        <f>19957+4969+10567+23879</f>
        <v>59372</v>
      </c>
      <c r="F25" s="53">
        <f>29005+10671+9376+13678+32660+27857+31572</f>
        <v>154819</v>
      </c>
      <c r="G25" s="51">
        <f>27997+9703+20683+2547+24672+26711+26930+4759+6014+10618+24749+7321+381</f>
        <v>193085</v>
      </c>
      <c r="H25" s="53">
        <f>20262+18184+13178+3207</f>
        <v>54831</v>
      </c>
      <c r="I25" s="55">
        <f>12561+33000+27350</f>
        <v>72911</v>
      </c>
      <c r="J25" s="31">
        <f>32850+8621+29004+3352+5870</f>
        <v>79697</v>
      </c>
      <c r="K25" s="97">
        <f>2988+42264</f>
        <v>45252</v>
      </c>
      <c r="L25" s="107">
        <f>13402+16500+18681</f>
        <v>48583</v>
      </c>
      <c r="M25" s="53">
        <f>16155+6502+21750+42348+6231+20107</f>
        <v>113093</v>
      </c>
      <c r="N25" s="53">
        <f>8704+34793+3001+25666+945+1712+24056</f>
        <v>98877</v>
      </c>
      <c r="O25" s="39" t="s">
        <v>39</v>
      </c>
      <c r="P25" s="34">
        <f>P24*1</f>
        <v>6045.238095238095</v>
      </c>
    </row>
    <row r="26" spans="1:14" ht="12.75">
      <c r="A26" s="47" t="s">
        <v>8</v>
      </c>
      <c r="B26" s="49" t="s">
        <v>0</v>
      </c>
      <c r="C26" s="51">
        <v>12199</v>
      </c>
      <c r="D26" s="53">
        <f>14413+10506+2271+18723+3110+11793+22061+3641+850+26432</f>
        <v>113800</v>
      </c>
      <c r="E26" s="51">
        <f>1182+422+42143+2324+9006+34350+4991+13915+10598+9709+26155+10762+29807+5001+16111+5514+10859+13682+10047+4799+8798+6513+8244+2758+12144+11929+16850+3143+23412</f>
        <v>355168</v>
      </c>
      <c r="F26" s="53">
        <f>26624+21955+9497+4013+18560</f>
        <v>80649</v>
      </c>
      <c r="G26" s="51">
        <f>43623+13604+20980+13228+14560+5018</f>
        <v>111013</v>
      </c>
      <c r="H26" s="53">
        <f>6275+28993+34852+10270+3295+16707+30167+9300+7338+9339+6963+8888+19851+19160+17574+15323+809+7001+1426+12500+18997+5003+44564+27267+13306+418+26383+9558+11581+9361+5088+20798+15135+29083+12016</f>
        <v>514589</v>
      </c>
      <c r="I26" s="55">
        <f>9681+17069+17949+15001+9154+39504+6136+24+19091+15141+15000+19350+14996+14599+48458+16027+10028+6777+17497+4917+30329+18230+18689+12152+9757+12000+14004+15620+13436+7661+11118+5663+7458+2550+17450+1325+14016+9546+2798+7500+61493+35215+8385+11000+41721+13981+26647+13000+12630+9500+6219+14849+20008</f>
        <v>822349</v>
      </c>
      <c r="J26" s="31">
        <f>8462+4499+13500+8863+8080+10000+3865+31329</f>
        <v>88598</v>
      </c>
      <c r="K26" s="97">
        <f>66657+4809+34498</f>
        <v>105964</v>
      </c>
      <c r="L26" s="107">
        <f>35028+7939+1797+9715+33755+7242</f>
        <v>95476</v>
      </c>
      <c r="M26" s="53">
        <f>56443+13231+2841+10649+18299+38245+24562+13869</f>
        <v>178139</v>
      </c>
      <c r="N26" s="53">
        <f>10857+57862+4422+43953+30880+41634+26218+12779+24827+33477+22181+11964+12930+1219</f>
        <v>335203</v>
      </c>
    </row>
    <row r="27" spans="1:14" ht="12.75">
      <c r="A27" s="47" t="s">
        <v>76</v>
      </c>
      <c r="B27" s="49"/>
      <c r="C27" s="51"/>
      <c r="D27" s="53"/>
      <c r="E27" s="51"/>
      <c r="F27" s="53"/>
      <c r="G27" s="51"/>
      <c r="H27" s="53">
        <f>5000+8013</f>
        <v>13013</v>
      </c>
      <c r="I27" s="55"/>
      <c r="J27" s="31"/>
      <c r="K27" s="97">
        <f>24133+9633+15919+6797+26440+2738+47261+16150</f>
        <v>149071</v>
      </c>
      <c r="L27" s="107">
        <f>25501+39215+6889+31512+4736+30417+10022+26462+41146</f>
        <v>215900</v>
      </c>
      <c r="M27" s="53">
        <f>9245+38320+43020+10739+34520+53977+24569+40828+48683+89614+31105+17807+2439+23975+20568+21689+21723+3072+106245+30818+23148+24947+24607+33656+15295</f>
        <v>794609</v>
      </c>
      <c r="N27" s="53">
        <f>20173+59579+24813+10759+33670+17940+19686+13496+38202+5090+28202+29728+14713+38096+62485+15062</f>
        <v>431694</v>
      </c>
    </row>
    <row r="28" spans="1:14" ht="12.75">
      <c r="A28" s="47" t="s">
        <v>73</v>
      </c>
      <c r="B28" s="49"/>
      <c r="C28" s="51"/>
      <c r="D28" s="53"/>
      <c r="E28" s="51"/>
      <c r="F28" s="53"/>
      <c r="G28" s="51"/>
      <c r="H28" s="53"/>
      <c r="I28" s="55"/>
      <c r="J28" s="31">
        <f>9218+16031</f>
        <v>25249</v>
      </c>
      <c r="K28" s="97">
        <f>26566+7720+10964</f>
        <v>45250</v>
      </c>
      <c r="L28" s="107">
        <f>14054+12007+16524+9935+19621+4171+10721+12000</f>
        <v>99033</v>
      </c>
      <c r="M28" s="53"/>
      <c r="N28" s="53"/>
    </row>
    <row r="29" spans="1:14" ht="12.75">
      <c r="A29" s="47" t="s">
        <v>5</v>
      </c>
      <c r="B29" s="49" t="s">
        <v>0</v>
      </c>
      <c r="C29" s="51">
        <f>199845+28450+22906+2295+10139</f>
        <v>263635</v>
      </c>
      <c r="D29" s="53">
        <f>5493+6391+6116+6082+15056+10215+3558+20939+15133+20681+14386+3500+20762+18353+20190+10544+10949+6537+44240+37479+38680+6232+46416+9697+27776+137668-3576+1056+12525+2076</f>
        <v>575154</v>
      </c>
      <c r="E29" s="51">
        <f>18000+14806+5060+4744+20216+7000+6945+12061+19832+36895+6976+20391+9750+19195+10979+7805+9255+22854+3917+8133+2514+11877+32802+8559+5213+12170+19341+4551+2028+8573+16460</f>
        <v>388902</v>
      </c>
      <c r="F29" s="53">
        <f>11144+5482+2134+7617+17247+26014+4998+7054+4546+27570+11706+12700+8448+7279+4596+10949+6300+4493+11125+4255+15454+4723+9732+12970+16850+12963+7002+11988+23185</f>
        <v>310524</v>
      </c>
      <c r="G29" s="51">
        <f>652+31500+13743+3136+17507+30577+18072+9754+17078+4253+25264+10993+7395+11987+12318+1902+11346+1946+6000+8395+14250+9241+16581+26000+10275+25789+11477+11326+3066+14390+11496+17202+25164+9000+15045+5268+1727+15431+10949+12401+23140+30277+18322+7183+27450+49793+11914+545</f>
        <v>678520</v>
      </c>
      <c r="H29" s="53">
        <f>5156+10508+29738+8207+13815+9136+9730+7224+4645+10189+10015+6359+19536+20134+882+9930+30000+6000+10705+12245+17046+32074+15531+33672+12529+6956+3339+19216</f>
        <v>374517</v>
      </c>
      <c r="I29" s="55"/>
      <c r="J29" s="31">
        <f>18123+31308+15208+8012+21750+37154+20783+6440+8255+26500+23360+6807+44046+43257+10000+19838+72838+36819+10000+26634+27250+40232+22731+10000+10805+7833+9603+2419</f>
        <v>618005</v>
      </c>
      <c r="K29" s="97">
        <f>18447+29324+3723+8502+48094+29548+29633+22246+9055+41958+18420+24047+39613+20575+29704+12000+4990+20688+5167+13853+16994+30416+9332+21814+54804+58537+7976+22508</f>
        <v>651968</v>
      </c>
      <c r="L29" s="107">
        <f>10685+14965+24369+8867+4041+17959+8004+9139</f>
        <v>98029</v>
      </c>
      <c r="M29" s="53"/>
      <c r="N29" s="53">
        <f>38442+20545</f>
        <v>58987</v>
      </c>
    </row>
    <row r="30" spans="1:14" ht="12.75">
      <c r="A30" s="47" t="s">
        <v>6</v>
      </c>
      <c r="B30" s="49" t="s">
        <v>0</v>
      </c>
      <c r="C30" s="51">
        <f>272711+25793</f>
        <v>298504</v>
      </c>
      <c r="D30" s="53">
        <f>24482+22680+2305+27463+27404+49778</f>
        <v>154112</v>
      </c>
      <c r="E30" s="51">
        <f>16062+1348+12938+29579</f>
        <v>59927</v>
      </c>
      <c r="F30" s="53"/>
      <c r="G30" s="51"/>
      <c r="H30" s="53">
        <f>12969+364+12320+32960+16101</f>
        <v>74714</v>
      </c>
      <c r="I30" s="55">
        <f>10866+19297+23776</f>
        <v>53939</v>
      </c>
      <c r="J30" s="31">
        <f>28424+2576+15671+44761+8200+28807+12016+4993+23323+4561+20321</f>
        <v>193653</v>
      </c>
      <c r="K30" s="97">
        <f>17917+12965+13209+14438+15395+7848+16514+6582+30000+49327+10660+331+11452+7865+3135+30037</f>
        <v>247675</v>
      </c>
      <c r="L30" s="107">
        <f>14974+11347+5089+18493+5808+3246+34211+21281+11808+13582+18163+665+20477+1282+9499</f>
        <v>189925</v>
      </c>
      <c r="M30" s="53">
        <f>24819+4764+21012</f>
        <v>50595</v>
      </c>
      <c r="N30" s="53">
        <f>27079+12013+5500+37491+16374</f>
        <v>98457</v>
      </c>
    </row>
    <row r="31" spans="1:15" ht="12.75">
      <c r="A31" s="47" t="s">
        <v>24</v>
      </c>
      <c r="B31" s="49"/>
      <c r="C31" s="51"/>
      <c r="D31" s="53">
        <v>29935</v>
      </c>
      <c r="E31" s="51">
        <f>25225+7523+18400+21575+13256</f>
        <v>85979</v>
      </c>
      <c r="F31" s="53"/>
      <c r="G31" s="51"/>
      <c r="H31" s="53">
        <f>13521</f>
        <v>13521</v>
      </c>
      <c r="I31" s="55">
        <f>24541+14508+2181</f>
        <v>41230</v>
      </c>
      <c r="J31" s="31"/>
      <c r="K31" s="97">
        <f>20023+4653+14340</f>
        <v>39016</v>
      </c>
      <c r="L31" s="107">
        <f>17812+40053+53647+34072+7850+2121+23948+13570+13222+7442+3136+27174+15010+20175+7181+25810+29753</f>
        <v>341976</v>
      </c>
      <c r="M31" s="53">
        <f>43740+47120+23889+4292+45057+25284+7059+32259+44321+42684+42647+14079</f>
        <v>372431</v>
      </c>
      <c r="N31" s="53">
        <f>12250+31202+34256+12094+30654+6054+31445+15754+29623+9922+36905+7036</f>
        <v>257195</v>
      </c>
      <c r="O31" s="40"/>
    </row>
    <row r="32" spans="1:15" ht="12.75">
      <c r="A32" s="47" t="s">
        <v>65</v>
      </c>
      <c r="B32" s="49"/>
      <c r="C32" s="51"/>
      <c r="D32" s="53"/>
      <c r="E32" s="51"/>
      <c r="F32" s="53"/>
      <c r="G32" s="51"/>
      <c r="H32" s="53">
        <f>27116+17250</f>
        <v>44366</v>
      </c>
      <c r="I32" s="55">
        <f>26784+26327+35741+12957+22135</f>
        <v>123944</v>
      </c>
      <c r="J32" s="31">
        <f>29951+28600</f>
        <v>58551</v>
      </c>
      <c r="K32" s="97">
        <f>23638+16435+3499+27431+15102+19169+6505+35151+6442+3359+30958+8892+16808+63031</f>
        <v>276420</v>
      </c>
      <c r="L32" s="107">
        <f>24026+11006+10404+56680+6343+7620+5800+45330+37904+8321+11310+9989</f>
        <v>234733</v>
      </c>
      <c r="M32" s="53"/>
      <c r="N32" s="53"/>
      <c r="O32" s="40"/>
    </row>
    <row r="33" spans="1:15" ht="13.5" customHeight="1">
      <c r="A33" s="47" t="s">
        <v>7</v>
      </c>
      <c r="B33" s="49" t="s">
        <v>0</v>
      </c>
      <c r="C33" s="51">
        <v>22420</v>
      </c>
      <c r="D33" s="53">
        <v>27586</v>
      </c>
      <c r="E33" s="51"/>
      <c r="F33" s="53"/>
      <c r="G33" s="51"/>
      <c r="H33" s="53"/>
      <c r="I33" s="55"/>
      <c r="J33" s="31"/>
      <c r="K33" s="97"/>
      <c r="L33" s="107"/>
      <c r="M33" s="53"/>
      <c r="N33" s="53"/>
      <c r="O33" s="40"/>
    </row>
    <row r="34" spans="1:15" ht="13.5" customHeight="1">
      <c r="A34" s="57" t="s">
        <v>106</v>
      </c>
      <c r="B34" s="58"/>
      <c r="C34" s="59"/>
      <c r="D34" s="60"/>
      <c r="E34" s="59"/>
      <c r="F34" s="60"/>
      <c r="G34" s="59"/>
      <c r="H34" s="60"/>
      <c r="I34" s="61"/>
      <c r="J34" s="62"/>
      <c r="K34" s="98"/>
      <c r="L34" s="108"/>
      <c r="M34" s="53">
        <v>25430</v>
      </c>
      <c r="N34" s="53"/>
      <c r="O34" s="40"/>
    </row>
    <row r="35" spans="1:15" ht="12.75">
      <c r="A35" s="57" t="s">
        <v>19</v>
      </c>
      <c r="B35" s="58" t="s">
        <v>0</v>
      </c>
      <c r="C35" s="59">
        <v>25016</v>
      </c>
      <c r="D35" s="60">
        <v>0</v>
      </c>
      <c r="E35" s="59">
        <f>9920</f>
        <v>9920</v>
      </c>
      <c r="F35" s="60"/>
      <c r="G35" s="59"/>
      <c r="H35" s="60"/>
      <c r="I35" s="61"/>
      <c r="J35" s="62"/>
      <c r="K35" s="98"/>
      <c r="L35" s="108"/>
      <c r="M35" s="53"/>
      <c r="N35" s="53"/>
      <c r="O35" s="40"/>
    </row>
    <row r="36" spans="1:15" ht="12.75">
      <c r="A36" s="57" t="s">
        <v>114</v>
      </c>
      <c r="B36" s="58"/>
      <c r="C36" s="59"/>
      <c r="D36" s="60"/>
      <c r="E36" s="59"/>
      <c r="F36" s="60"/>
      <c r="G36" s="59"/>
      <c r="H36" s="60"/>
      <c r="I36" s="61"/>
      <c r="J36" s="62"/>
      <c r="K36" s="98"/>
      <c r="L36" s="108"/>
      <c r="M36" s="53">
        <f>10002+12012</f>
        <v>22014</v>
      </c>
      <c r="N36" s="53">
        <f>7941+11133+29926+12005</f>
        <v>61005</v>
      </c>
      <c r="O36" s="40"/>
    </row>
    <row r="37" spans="1:15" ht="12.75">
      <c r="A37" s="57" t="s">
        <v>70</v>
      </c>
      <c r="B37" s="58"/>
      <c r="C37" s="59"/>
      <c r="D37" s="60"/>
      <c r="E37" s="59"/>
      <c r="F37" s="60"/>
      <c r="G37" s="59"/>
      <c r="H37" s="60"/>
      <c r="I37" s="61">
        <f>3526</f>
        <v>3526</v>
      </c>
      <c r="J37" s="62"/>
      <c r="K37" s="98">
        <f>8880</f>
        <v>8880</v>
      </c>
      <c r="L37" s="108"/>
      <c r="M37" s="53">
        <f>20795+19737</f>
        <v>40532</v>
      </c>
      <c r="N37" s="53">
        <f>28798+6675+8318</f>
        <v>43791</v>
      </c>
      <c r="O37" s="40"/>
    </row>
    <row r="38" spans="1:15" ht="12.75">
      <c r="A38" s="57" t="s">
        <v>149</v>
      </c>
      <c r="B38" s="58"/>
      <c r="C38" s="59"/>
      <c r="D38" s="60"/>
      <c r="E38" s="59"/>
      <c r="F38" s="60"/>
      <c r="G38" s="59"/>
      <c r="H38" s="60"/>
      <c r="I38" s="61"/>
      <c r="J38" s="62"/>
      <c r="K38" s="98"/>
      <c r="L38" s="108"/>
      <c r="M38" s="60"/>
      <c r="N38" s="60">
        <f>38816+11342+2678+38647</f>
        <v>91483</v>
      </c>
      <c r="O38" s="40"/>
    </row>
    <row r="39" spans="1:15" ht="13.5" thickBot="1">
      <c r="A39" s="57" t="s">
        <v>77</v>
      </c>
      <c r="B39" s="58"/>
      <c r="C39" s="59"/>
      <c r="D39" s="60"/>
      <c r="E39" s="59"/>
      <c r="F39" s="60"/>
      <c r="G39" s="59"/>
      <c r="H39" s="60"/>
      <c r="I39" s="61"/>
      <c r="J39" s="62"/>
      <c r="K39" s="98">
        <f>17490+18581</f>
        <v>36071</v>
      </c>
      <c r="L39" s="108"/>
      <c r="M39" s="109"/>
      <c r="N39" s="109"/>
      <c r="O39" s="40"/>
    </row>
    <row r="40" spans="1:15" ht="13.5" thickBot="1">
      <c r="A40" s="42" t="s">
        <v>33</v>
      </c>
      <c r="B40" s="25">
        <f>SUM(B22:B28)</f>
        <v>0</v>
      </c>
      <c r="C40" s="63">
        <f>SUM(C22:C28)</f>
        <v>425628</v>
      </c>
      <c r="D40" s="64">
        <f aca="true" t="shared" si="0" ref="D40:N40">SUM(D22:D39)</f>
        <v>1219504</v>
      </c>
      <c r="E40" s="65">
        <f t="shared" si="0"/>
        <v>1076240</v>
      </c>
      <c r="F40" s="66">
        <f t="shared" si="0"/>
        <v>782258</v>
      </c>
      <c r="G40" s="67">
        <f t="shared" si="0"/>
        <v>1386094</v>
      </c>
      <c r="H40" s="64">
        <f t="shared" si="0"/>
        <v>1198397</v>
      </c>
      <c r="I40" s="68">
        <f t="shared" si="0"/>
        <v>1283229</v>
      </c>
      <c r="J40" s="69">
        <f t="shared" si="0"/>
        <v>1650053</v>
      </c>
      <c r="K40" s="67">
        <f t="shared" si="0"/>
        <v>1718482</v>
      </c>
      <c r="L40" s="64">
        <f t="shared" si="0"/>
        <v>1366899</v>
      </c>
      <c r="M40" s="64">
        <f t="shared" si="0"/>
        <v>1656612</v>
      </c>
      <c r="N40" s="64">
        <f t="shared" si="0"/>
        <v>1498502</v>
      </c>
      <c r="O40" s="40"/>
    </row>
    <row r="41" spans="5:15" ht="12.75">
      <c r="E41" s="35"/>
      <c r="F41" s="36"/>
      <c r="G41" s="36"/>
      <c r="H41" s="36"/>
      <c r="I41" s="36"/>
      <c r="J41" s="36"/>
      <c r="K41" s="36"/>
      <c r="L41" s="36"/>
      <c r="M41" s="36"/>
      <c r="N41" s="36">
        <f>'Data 2014_15'!D51</f>
        <v>1498502</v>
      </c>
      <c r="O41" s="40"/>
    </row>
    <row r="42" spans="5:15" ht="12.75"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0"/>
    </row>
    <row r="43" spans="1:15" ht="12.75">
      <c r="A43" s="16" t="s">
        <v>9</v>
      </c>
      <c r="O43" s="37"/>
    </row>
    <row r="44" ht="13.5" thickBot="1"/>
    <row r="45" spans="1:14" ht="13.5" thickBot="1">
      <c r="A45" s="118" t="s">
        <v>35</v>
      </c>
      <c r="B45" s="119"/>
      <c r="C45" s="119"/>
      <c r="D45" s="119"/>
      <c r="E45" s="120">
        <f>E19</f>
        <v>41908</v>
      </c>
      <c r="F45" s="114"/>
      <c r="G45" s="114"/>
      <c r="H45" s="114"/>
      <c r="I45" s="114"/>
      <c r="J45" s="114"/>
      <c r="K45" s="114"/>
      <c r="L45" s="114"/>
      <c r="M45" s="114"/>
      <c r="N45" s="115"/>
    </row>
    <row r="46" spans="1:14" s="16" customFormat="1" ht="13.5" thickBot="1">
      <c r="A46" s="121" t="s">
        <v>34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16"/>
      <c r="M46" s="116"/>
      <c r="N46" s="117"/>
    </row>
    <row r="47" spans="1:14" ht="13.5" thickBot="1">
      <c r="A47" s="105"/>
      <c r="B47" s="99" t="s">
        <v>18</v>
      </c>
      <c r="C47" s="102" t="s">
        <v>17</v>
      </c>
      <c r="D47" s="101" t="s">
        <v>20</v>
      </c>
      <c r="E47" s="102" t="s">
        <v>23</v>
      </c>
      <c r="F47" s="101" t="s">
        <v>51</v>
      </c>
      <c r="G47" s="102" t="s">
        <v>54</v>
      </c>
      <c r="H47" s="101" t="s">
        <v>61</v>
      </c>
      <c r="I47" s="104" t="s">
        <v>66</v>
      </c>
      <c r="J47" s="99" t="s">
        <v>71</v>
      </c>
      <c r="K47" s="104" t="s">
        <v>74</v>
      </c>
      <c r="L47" s="103" t="s">
        <v>79</v>
      </c>
      <c r="M47" s="99" t="s">
        <v>82</v>
      </c>
      <c r="N47" s="99" t="s">
        <v>143</v>
      </c>
    </row>
    <row r="48" spans="1:14" ht="12.75">
      <c r="A48" s="46" t="s">
        <v>12</v>
      </c>
      <c r="B48" s="56">
        <f>1492+164+249+155+153</f>
        <v>2213</v>
      </c>
      <c r="C48" s="50">
        <v>0</v>
      </c>
      <c r="D48" s="90">
        <v>68</v>
      </c>
      <c r="E48" s="50"/>
      <c r="F48" s="56">
        <f>169+169+460+585+573+480+829+820+321+170+247+325+713+890+188+35+35+220+148+495+850</f>
        <v>8722</v>
      </c>
      <c r="G48" s="50">
        <f>226+397+56+118+696+362+202+152+383+286+115+171+140+130+169+153+143+288+36+251+425+75+214</f>
        <v>5188</v>
      </c>
      <c r="H48" s="56">
        <f>306+591+478+485+291+245+318+431+228+317+229+100+1456+1105+708+240+133+200+261+206+177+192+32+147+61+58+219+62+156+152+122+30+32+32+203+193+31+173+54+97+31</f>
        <v>10582</v>
      </c>
      <c r="I48" s="54">
        <f>67+171+743+137+520+281+192+240+129+128+159+312+113+257+75+482+468+516+219+425+491+190+526+414+331+252+201+326+599+732+267+275+271+605+288+324+523+521+837+260+172+219+257+197+67+151+121+203+301</f>
        <v>15555</v>
      </c>
      <c r="J48" s="56">
        <f>35+69+183+106+309+71+137+178+108+36+140+211+105+44+35+102+34+34+170+722+894+1084+888+66+35+70+71+132+101+68+464+133+35+101+84+497+172+209+391+98+211+246+104+418</f>
        <v>9401</v>
      </c>
      <c r="K48" s="28">
        <f>414+1153+302+70+335+1295+122+228+317+263+33+549+570+539+660+674+424+841+909+641+592+564+613+961+724+815+562+661+1564+237+206+65+144+69+102+87+524+422+198+119+421+174+116+228+375+137</f>
        <v>21019</v>
      </c>
      <c r="L48" s="96">
        <f>65+34+1090+811+337+1056+293+627+1796+433+286+292+595+648+632+603+1065+1131+908+729+181+109+532+898+289+431+295+326+640+272+1198+283+313+186+126+294+634+330+184+80+484</f>
        <v>21516</v>
      </c>
      <c r="M48" s="56">
        <f>106+140+482+100+213+292+660+948+701+309+144+446+295+149+597+517+377+76+146+149+371+585+993+141+34+74+144+34+446+351+440+211+70+334+497+503+33+34</f>
        <v>12142</v>
      </c>
      <c r="N48" s="56">
        <f>90+100+135+107+456+392+246+1310+895+394+496+135+354+326+184+283+544+550+257+665+635+860+67+307+745+1632+901+227+294+327+435+111+322+36+312+217</f>
        <v>15347</v>
      </c>
    </row>
    <row r="49" spans="1:14" ht="12.75">
      <c r="A49" s="47" t="s">
        <v>15</v>
      </c>
      <c r="B49" s="53">
        <v>572</v>
      </c>
      <c r="C49" s="51">
        <f>396+437+484+132+968+1408+1050+530+676+528+88+528+220+88+264+44+484+132+528+528+132+616+88+440</f>
        <v>10789</v>
      </c>
      <c r="D49" s="70">
        <f>440+748+1276+528+660+616+176+572+572+132+88+616+792+572+484+616+572+792+792+700+2772</f>
        <v>14516</v>
      </c>
      <c r="E49" s="51">
        <f>528+704+528+528+528+572+616+484+396+615+660+880+484+528+308+924+704+176+440+528+704+792+964+352+1188+220+176+264+220+176</f>
        <v>16187</v>
      </c>
      <c r="F49" s="53">
        <f>440+220+271+660+33+8+729+308+660+264+440+467+660+220+1192+220+528+300+660+660+662+484+529+660+26+705+1149+530+750+528</f>
        <v>14963</v>
      </c>
      <c r="G49" s="51">
        <f>396+572+572+1654+150+756+528+974+440+1100+868+660+1542+2201+1716+660+352+528+704+264+1232+1232+704+528+308+308+40+616+532</f>
        <v>22137</v>
      </c>
      <c r="H49" s="53">
        <f>640+270+376+471+392+390+210+141+37+450+167+141+568+880+1489+767+440+528+1149+528+616+1362+792+220+1100+405+878+575+36+528+176+352+704+658+219+308+264</f>
        <v>19227</v>
      </c>
      <c r="I49" s="55">
        <f>425+642+678+389+673+621+388+348+411+581+308+98+176+172+531+656+264+100+1701+69+758+213+387+316+777+339+692+633+416+27+416+205+106+947+308+873+353+425</f>
        <v>17422</v>
      </c>
      <c r="J49" s="53">
        <f>205+1522+2237+1180+548+695+492+105+551+1207+464+358+382+254+399+388+175+132+519+339+456+213+104+54+39+289+210+349+142+282+420+102+311+808+173+384+1405+995+599+106+210</f>
        <v>19803</v>
      </c>
      <c r="K49" s="31">
        <f>1677+2244+803+386+344+790+753+464+497+1213+36+280+248+392+432+564+524+208+139+524+808+312+205+138+103+729+663+797+451+483+312+37+536+35+249+813+444+510+749+172</f>
        <v>21064</v>
      </c>
      <c r="L49" s="97">
        <f>440+856+687+290+355+617+293+473+943+293+511+840+367+511+657+538+540+602+538+901+414+566+635+630+726+636+627+656+547+253+1928+700+1279+988+511+288+108+177+107+1232+1188+62</f>
        <v>25510</v>
      </c>
      <c r="M49" s="53">
        <f>473+1150+734+510+1343+550+1559+323+692+284+1325+799+1036+741+776+873+798+545+547+512+1239+1377+1827+603+1205+435+607+438+472+774+843+816+514+475+330+1401+1375+977+513+791+277+715+888+717+668+714+213</f>
        <v>36774</v>
      </c>
      <c r="N49" s="53">
        <f>255+293+541+999+791+727+328+781+467+327+507+363+1088+693+70+286+770+685+326+477+580+108+696+619+733+836+325+1200+308+725+308+72+446</f>
        <v>17730</v>
      </c>
    </row>
    <row r="50" spans="1:14" ht="12.75">
      <c r="A50" s="47" t="s">
        <v>14</v>
      </c>
      <c r="B50" s="53">
        <f>810+248+26</f>
        <v>1084</v>
      </c>
      <c r="C50" s="51">
        <f>1505+198+650+1652+42+3569+533+704+58+29+1666+3417+351+1144+30+1537+507+89+1063+58+926+138+103+117+1124+29</f>
        <v>21239</v>
      </c>
      <c r="D50" s="70">
        <f>126+1000+28+30+703+3353</f>
        <v>5240</v>
      </c>
      <c r="E50" s="51">
        <f>33+60+121+347+59+289</f>
        <v>909</v>
      </c>
      <c r="F50" s="53">
        <f>239+1224+418+2313+628+1497+3239+1226+836+484+944+1903+29+30+121+409</f>
        <v>15540</v>
      </c>
      <c r="G50" s="51">
        <f>13+616+318+1286+1014+220+607+226+1540+2777+836+1012</f>
        <v>10465</v>
      </c>
      <c r="H50" s="53">
        <f>187+756+1340+476+93+609+364+1110+225+1228+2162+354+1379+247+68+2008+438+1147+1308+586+809+398+68+924+1016+214+276+2116+610+882+35+694+481+140+1749+250+132+769+1232</f>
        <v>28880</v>
      </c>
      <c r="I50" s="55">
        <f>62+28+28+1024+807+320+56+56+920+380+260+1008+56+28+612+728+1376+1958+604+1061+862+514+200+298+296+420+422+392+1066+712+1758+3271+1211+880+55+28+28+34+620+540+364+660+64+128+183+1784+191+996+561</f>
        <v>29910</v>
      </c>
      <c r="J50" s="53">
        <f>48+700+28+28+28+28+28+28+56+168+84+56+28+28+88+516+427+322</f>
        <v>2689</v>
      </c>
      <c r="K50" s="31">
        <f>176+376+1326+1410+1540+1948+198+1314+1847+265+1408+748+1936+1848+2553+264+684+455+1652+245+528+1578+43+133+264+236+380+125+288+91+286</f>
        <v>26145</v>
      </c>
      <c r="L50" s="97">
        <f>2030+1066+762+2720+4766+5650+634+955+871+201+1726+5+1452+1285+1438+2463+2640+69+1649+4204+269+1466+2112+1926+1276+1173+2194+3116+3166+2420+1012+1080+2477+2+200+34+101+1584+2386+97+432</f>
        <v>65109</v>
      </c>
      <c r="M50" s="53">
        <f>34+3248+1161+2816+2508+484+2023+2383+398+1244+101+1387+757+673+522+1566+1104+1276+2101+263+2222+2587+1408+2597+2883+507+2024+1232+606+3124+3013+849+1427+35+528+2948+440+620+170+205+100+235+1110</f>
        <v>56919</v>
      </c>
      <c r="N50" s="53">
        <f>638+2143+2151+1841+2548+2271+899+1223+4173+766+1606+1758+1875+2807+3076+1115+4206+2268+2580+786+270+1137+2771+1525+4304+1188+2647+1717+2678+8637+1679+1443+1293+371+308+463+468+771+1208+676</f>
        <v>76284</v>
      </c>
    </row>
    <row r="51" spans="1:14" ht="12.75">
      <c r="A51" s="47" t="s">
        <v>11</v>
      </c>
      <c r="B51" s="53">
        <f>376+565+2816+1955+1180+425+398+304</f>
        <v>8019</v>
      </c>
      <c r="C51" s="51">
        <f>1144+748+704+1584+25+1811+599+325+866+638+995+528+748+176+144+1011+218+1320+352+263+1405+94+1447+77+2471+1996+28+165+625+358+500+1300+1233+293+351+308+1053</f>
        <v>27903</v>
      </c>
      <c r="D51" s="70">
        <f>704+1274+220+2212+1990+3520+1320+308+1188+799+710+616+836+1320+1248+261+366+300+576+156+1540+186+417+918+3824+825+269+321+720+17366</f>
        <v>46310</v>
      </c>
      <c r="E51" s="51">
        <f>308+748+880+924+44+303+1760+2200+924+3034+1056+616+440+440+1848+2200+456+528+484+1012</f>
        <v>20205</v>
      </c>
      <c r="F51" s="53">
        <f>88+88+58+2159+1346+171+500+317+1108+681+3472+1811+562+256+1394+1364+521+818+1346+2772+1466+1079+684+613+300+440+357+1588+1695+2200+1760+440+1781+880+396+1408+2113+11035+3054+1366+396+5919</f>
        <v>61802</v>
      </c>
      <c r="G51" s="51">
        <f>183+1270+403+1604+1954+1716+35+405+1321+2178+363+896+4702+1567+413+2883+1503+1144+1732+1336+1824+2882+4418+4108+5839+2057+8765+2728+1409+5111+200</f>
        <v>66949</v>
      </c>
      <c r="H51" s="53">
        <f>262+63+83+18+175+101+259+391+354+1067+1104+4510+3916+1324+1044+1054+54+440+880+132+1100+1716+968+1012+968+1365+1540+1629+2156+1760+2156+5060+396+1716</f>
        <v>40773</v>
      </c>
      <c r="I51" s="55">
        <f>70+168+2+116+631+152+128+92+250+887+890+792+503+2566+798+325+519+410+2389+690+1301+1797+940+210+1379+531+1981+465+2155+1086+928+900+174+258+695+2280+821+1888+474+6703+605+3233+548+1868+64+37+886+210+70+403</f>
        <v>47268</v>
      </c>
      <c r="J51" s="53">
        <f>49+440+307+213+330+33+786+1188+281+802+1510+201+235+243+881+1237+1226+317+1590+891+1724+819+257+1722+3082+3436+991+150+32+625</f>
        <v>25598</v>
      </c>
      <c r="K51" s="31">
        <f>404+1602+1647+1477+440+924+773+440+2772+660+36+161+792+1422+476+1120+2267+1009+1061+142+653+288+160+1140+1292+2319+2147+880+374+1496+2758+3886+2563+2759+2535+2478+9356+3092+1193+2593+1452+3476+1431+263+261+143</f>
        <v>70613</v>
      </c>
      <c r="L51" s="97">
        <f>1196+1371+2308+402+572+137+1467+749+611+417+2035+1010+2016+1443+1203+600+1509+291+441+1933+214+1658+1320+624+735+1044+2421+3466+1188+4145+2068+2894+2889+2152+2478+1787+2551+833+7745+367+1000+2200+929+3393+747+24+128</f>
        <v>72711</v>
      </c>
      <c r="M51" s="53">
        <f>580+432+396+2244+769+3411+747+2156+1936+2200+880+1540+440+1133+648+652+180+146+709+113+4318+1744+249+589+173+3137+1208+1462+1710+3085+2059+2494+1697+1869+1899+852+3601+676+5790+286+71+1032+762+386+595+385+498+66</f>
        <v>64005</v>
      </c>
      <c r="N51" s="53">
        <f>206+200+654+1449+1698+1845+590+97+400+562+1801+3227+1159+528+4122+1451+948+312+433+166+70+22</f>
        <v>21940</v>
      </c>
    </row>
    <row r="52" spans="1:14" ht="12.75">
      <c r="A52" s="47" t="s">
        <v>10</v>
      </c>
      <c r="B52" s="53">
        <f>660+2273+1168+44+559+540+810+3063</f>
        <v>9117</v>
      </c>
      <c r="C52" s="51">
        <f>7+8+444+796+1503+8315+1260+1017+2787+4632+1094+4796+618+4824+3373+5979+2162+2733+2917+1191+970+442+1060+485+882+970+528+1343+176+44+618+1382+265+739+365+792+62+2211+750+352+308</f>
        <v>65200</v>
      </c>
      <c r="D52" s="70">
        <f>910+1331+308+1515+836+528+484+704+1003+2112+1549+352+1316+1433+660+24+3488+1016+1995+2951+1323+2720+1595+952+1938+621+2106+4373+2869+2430+3894+1852+12094</f>
        <v>63282</v>
      </c>
      <c r="E52" s="51">
        <f>1644+800+882+572+1764+1345+2932+1744+298+24+2040+875+1412+336+904+111+2527+1707+871+2460+1942+2194+58+1909+511+2377+2492+1934+1073+1737+1166+396+397+2030+1763+1395+1242+1318+352+1719+1210+153+35+440+764+1213+567+358+1078</f>
        <v>59071</v>
      </c>
      <c r="F52" s="71">
        <f>307+126+968+1386+5053+628+1291+3687+968+886+810+3106+1332+352+3209+1296+640+1767+765+4055+491+4042+1119+1320+972+2382+2589+3460+2151+3337+1888+4723+1545+1385+1235+1048+2920+1936+1910+1152+1347+400+1456+1578+418+1097+1572+574+1080+2016+2818</f>
        <v>88593</v>
      </c>
      <c r="G52" s="72">
        <f>3195+1205+1494+1434+2398+233+936+2785+2429+6454+2048+736+2353+387+2446+950+4708+2320+1355+2603+156+1354+513+683+1882+1022+1063+933+2008+4049+4058+2785+4986+2670+654+2944+1001+1717+2211+1981+467+1872+1786+598+986+455+813+31+375+296+295</f>
        <v>89113</v>
      </c>
      <c r="H52" s="71">
        <f>2793+1661+1217+1585+694+1670+477+295+693+316+859+1366+228+249+355+849+4106+3090+2023+535+1063+662+396+1001+3592+4235+5435+3951+1998+4405+3531+11331+598+1824+2176+787+2397+951+1510+2063+1768+542+880+1204+840+1019+804+3603</f>
        <v>89627</v>
      </c>
      <c r="I52" s="73">
        <f>2330+2392+7391+4024+4630+1593+1521+937+729+2713+1636+1061+2123+2766+1207+492+71+471+809+1568+948+110+735+1098+2145+238+307+325+465+650+623+963+3626+791+4542+1270+4425+3902+1849+8416+1397+3288+2839+1257+2501+592+3902+3568+793</f>
        <v>98029</v>
      </c>
      <c r="J52" s="71">
        <f>1419+2827+3923+314+828+961+1470+1196+254+1583+1621+2235+1264+268+5171+1047+2252+1454+466+1574+1765+2149+3018+2300+1188+250+597+639+572+1411+1552+408+1730+713+1069+3210+1505+311+12237+3117+1274+945+150+368+210+1603+567+2253+2623</f>
        <v>81861</v>
      </c>
      <c r="K52" s="29">
        <f>2717+5495+2686+2797+3821+3488+2484+858+1156+1363+483+1856+744+4226+2929+1845+3677+1522+1918+927+421+1813+1746+1546+356+274+1088+1767+2769+2233+2386+4056+3583+4401+1250+3339+4852+1787+396+3311+1590+1165+2823+2789+1560+1806+1867+1704+620+1326</f>
        <v>107616</v>
      </c>
      <c r="L52" s="97">
        <f>796+1460+1332+436+2061+1762+544+857+2152+3643+1101+2497+1639+98+835+1500+2336+2194+3124+1505+1716+1190+2935+1670+2209+440+1179+919+655+1644+2044+2615+2285+3684+3237+2248+4469+3213+767+6982+1090+292+503+781+1381+1212+1135+1934+1296+3767</f>
        <v>91364</v>
      </c>
      <c r="M52" s="53">
        <f>1458+816+2174+1645+1445+883+2067+2009+1131+1570+1149+1448+1230+1397+859+1063+1331+3035+2270+3670+1964+2472+2929+741+1408+3108+3817+1623+2348+1497+2694+1342+2027+2490+2524+2133+2777+2520+312+2709+1256+396+1212+426+500+899+1367+1086+638+195</f>
        <v>84060</v>
      </c>
      <c r="N52" s="53">
        <f>415+754+242+1007+1091+2190+1552+2164+1967+2092+1577+1563+2192+3387+1899+1519+663+800+1450+2938+1480+1599+2089+2037+1821+1612+1624+580+272+6053+1079+2722+144+688+1709+2311+1556+1298+960</f>
        <v>63096</v>
      </c>
    </row>
    <row r="53" spans="1:14" ht="12.75">
      <c r="A53" s="47" t="s">
        <v>55</v>
      </c>
      <c r="B53" s="88"/>
      <c r="C53" s="89"/>
      <c r="D53" s="91"/>
      <c r="E53" s="89"/>
      <c r="F53" s="91"/>
      <c r="G53" s="92">
        <f>832+880</f>
        <v>1712</v>
      </c>
      <c r="H53" s="93"/>
      <c r="I53" s="94"/>
      <c r="J53" s="93"/>
      <c r="K53" s="95"/>
      <c r="L53" s="97"/>
      <c r="M53" s="53"/>
      <c r="N53" s="53"/>
    </row>
    <row r="54" spans="1:14" ht="12.75">
      <c r="A54" s="47" t="s">
        <v>64</v>
      </c>
      <c r="B54" s="53"/>
      <c r="C54" s="51"/>
      <c r="D54" s="70"/>
      <c r="E54" s="51"/>
      <c r="F54" s="71"/>
      <c r="G54" s="72"/>
      <c r="H54" s="71"/>
      <c r="I54" s="73"/>
      <c r="J54" s="71"/>
      <c r="K54" s="29"/>
      <c r="L54" s="97"/>
      <c r="M54" s="53"/>
      <c r="N54" s="53"/>
    </row>
    <row r="55" spans="1:14" ht="12.75">
      <c r="A55" s="47" t="s">
        <v>52</v>
      </c>
      <c r="B55" s="53"/>
      <c r="C55" s="51"/>
      <c r="D55" s="70"/>
      <c r="E55" s="51"/>
      <c r="F55" s="53">
        <f>252+449</f>
        <v>701</v>
      </c>
      <c r="G55" s="51"/>
      <c r="H55" s="53"/>
      <c r="I55" s="55"/>
      <c r="J55" s="53"/>
      <c r="K55" s="31"/>
      <c r="L55" s="97"/>
      <c r="M55" s="53"/>
      <c r="N55" s="53"/>
    </row>
    <row r="56" spans="1:14" ht="12.75">
      <c r="A56" s="47" t="s">
        <v>189</v>
      </c>
      <c r="B56" s="53"/>
      <c r="C56" s="51"/>
      <c r="D56" s="70"/>
      <c r="E56" s="51"/>
      <c r="F56" s="53"/>
      <c r="G56" s="51"/>
      <c r="H56" s="53"/>
      <c r="I56" s="55"/>
      <c r="J56" s="53"/>
      <c r="K56" s="31"/>
      <c r="L56" s="97"/>
      <c r="M56" s="53"/>
      <c r="N56" s="53">
        <v>580</v>
      </c>
    </row>
    <row r="57" spans="1:14" ht="12.75">
      <c r="A57" s="47" t="s">
        <v>53</v>
      </c>
      <c r="B57" s="53"/>
      <c r="C57" s="51"/>
      <c r="D57" s="70"/>
      <c r="E57" s="51"/>
      <c r="F57" s="53">
        <f>68+69+33</f>
        <v>170</v>
      </c>
      <c r="G57" s="51">
        <f>250</f>
        <v>250</v>
      </c>
      <c r="H57" s="53">
        <f>688+306</f>
        <v>994</v>
      </c>
      <c r="I57" s="55"/>
      <c r="J57" s="53">
        <f>228+6</f>
        <v>234</v>
      </c>
      <c r="K57" s="31">
        <f>842+433+549+1140</f>
        <v>2964</v>
      </c>
      <c r="L57" s="97"/>
      <c r="M57" s="53"/>
      <c r="N57" s="53">
        <v>56</v>
      </c>
    </row>
    <row r="58" spans="1:14" ht="12.75">
      <c r="A58" s="47" t="s">
        <v>76</v>
      </c>
      <c r="B58" s="53"/>
      <c r="C58" s="51"/>
      <c r="D58" s="70"/>
      <c r="E58" s="51"/>
      <c r="F58" s="53"/>
      <c r="G58" s="51"/>
      <c r="H58" s="53"/>
      <c r="I58" s="55"/>
      <c r="J58" s="53"/>
      <c r="K58" s="31"/>
      <c r="L58" s="97"/>
      <c r="M58" s="53"/>
      <c r="N58" s="53"/>
    </row>
    <row r="59" spans="1:14" ht="12.75">
      <c r="A59" s="47" t="s">
        <v>13</v>
      </c>
      <c r="B59" s="53">
        <f>925+1602+311+647+239+120+7</f>
        <v>3851</v>
      </c>
      <c r="C59" s="51">
        <f>859+1722+387+748+868+30+60+150</f>
        <v>4824</v>
      </c>
      <c r="D59" s="70">
        <f>1315+63+254+1994+507+1000</f>
        <v>5133</v>
      </c>
      <c r="E59" s="51">
        <f>116</f>
        <v>116</v>
      </c>
      <c r="F59" s="53">
        <f>239+337+2437+484+352+396+308+528+880+59+44+64+171+436</f>
        <v>6735</v>
      </c>
      <c r="G59" s="51">
        <f>528+440+660+396+660+880+793+660+440+1189+2101+44+1321+968+880+1320+440+704+1100</f>
        <v>15524</v>
      </c>
      <c r="H59" s="53">
        <f>265+265+664+656+3036+1862+2195+748+836+484+220+440</f>
        <v>11671</v>
      </c>
      <c r="I59" s="55"/>
      <c r="J59" s="53">
        <f>264+924+352+214+880+510+964+836+599+556+440+246+1361+468+880+444+572+1084+1144</f>
        <v>12738</v>
      </c>
      <c r="K59" s="31">
        <f>844+1012+1012+440+1144+880+50+1375+968+616+440+2103+1144+3475+236+468+1408+1980</f>
        <v>19595</v>
      </c>
      <c r="L59" s="97"/>
      <c r="M59" s="53"/>
      <c r="N59" s="53">
        <f>2012+1078+1606+2578+2840+2320+3540+2547+520+1737+1330+1313+1906+1748+2075+1707+2464+1629+2902+2757</f>
        <v>40609</v>
      </c>
    </row>
    <row r="60" spans="1:14" ht="13.5" thickBot="1">
      <c r="A60" s="57"/>
      <c r="B60" s="60"/>
      <c r="C60" s="59">
        <v>7733</v>
      </c>
      <c r="D60" s="60">
        <f>1229</f>
        <v>1229</v>
      </c>
      <c r="E60" s="59"/>
      <c r="F60" s="60"/>
      <c r="G60" s="59"/>
      <c r="H60" s="60"/>
      <c r="I60" s="61"/>
      <c r="J60" s="60"/>
      <c r="K60" s="62"/>
      <c r="L60" s="98"/>
      <c r="M60" s="109"/>
      <c r="N60" s="109"/>
    </row>
    <row r="61" spans="1:14" ht="13.5" thickBot="1">
      <c r="A61" s="42" t="s">
        <v>33</v>
      </c>
      <c r="B61" s="64">
        <f>SUM(B49:B60)</f>
        <v>22643</v>
      </c>
      <c r="C61" s="63">
        <f>SUM(C49:C60)</f>
        <v>137688</v>
      </c>
      <c r="D61" s="64">
        <f>SUM(D49:D60)</f>
        <v>135710</v>
      </c>
      <c r="E61" s="63">
        <f>SUM(E49:E60)</f>
        <v>96488</v>
      </c>
      <c r="F61" s="64">
        <f>SUM(F49:F60)</f>
        <v>188504</v>
      </c>
      <c r="G61" s="63">
        <f aca="true" t="shared" si="1" ref="G61:L61">SUM(G48:G60)</f>
        <v>211338</v>
      </c>
      <c r="H61" s="64">
        <f t="shared" si="1"/>
        <v>201754</v>
      </c>
      <c r="I61" s="68">
        <f t="shared" si="1"/>
        <v>208184</v>
      </c>
      <c r="J61" s="64">
        <f t="shared" si="1"/>
        <v>152324</v>
      </c>
      <c r="K61" s="69">
        <f t="shared" si="1"/>
        <v>269016</v>
      </c>
      <c r="L61" s="64">
        <f t="shared" si="1"/>
        <v>276210</v>
      </c>
      <c r="M61" s="64">
        <f>SUM(M48:M60)</f>
        <v>253900</v>
      </c>
      <c r="N61" s="64">
        <f>SUM(N48:N60)</f>
        <v>235642</v>
      </c>
    </row>
    <row r="62" spans="1:14" ht="12.75">
      <c r="A62" s="24"/>
      <c r="B62" s="24"/>
      <c r="C62" s="24"/>
      <c r="D62" s="24"/>
      <c r="E62" s="40"/>
      <c r="F62" s="41"/>
      <c r="G62" s="41"/>
      <c r="H62" s="41"/>
      <c r="I62" s="41"/>
      <c r="J62" s="41"/>
      <c r="K62" s="84"/>
      <c r="L62" s="41"/>
      <c r="M62" s="41"/>
      <c r="N62" s="41">
        <f>'Data 2014_15'!F51</f>
        <v>235642</v>
      </c>
    </row>
    <row r="63" spans="5:14" ht="12.75"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ht="12.75">
      <c r="N64" s="37"/>
    </row>
  </sheetData>
  <sheetProtection/>
  <mergeCells count="4">
    <mergeCell ref="A46:K46"/>
    <mergeCell ref="O20:P20"/>
    <mergeCell ref="B19:D19"/>
    <mergeCell ref="B20:K20"/>
  </mergeCells>
  <printOptions/>
  <pageMargins left="0.25" right="0.22" top="0.74" bottom="1" header="0.25" footer="0.5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Funzani Sundani</cp:lastModifiedBy>
  <cp:lastPrinted>2015-07-14T10:50:25Z</cp:lastPrinted>
  <dcterms:created xsi:type="dcterms:W3CDTF">2003-10-06T13:55:36Z</dcterms:created>
  <dcterms:modified xsi:type="dcterms:W3CDTF">2015-07-21T10:54:37Z</dcterms:modified>
  <cp:category/>
  <cp:version/>
  <cp:contentType/>
  <cp:contentStatus/>
</cp:coreProperties>
</file>