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83" activeTab="0"/>
  </bookViews>
  <sheets>
    <sheet name="Pryse + Sensatiwiteitsanali" sheetId="1" r:id="rId1"/>
    <sheet name="W-RR mielies Laer opbrengs " sheetId="2" r:id="rId2"/>
    <sheet name="W-RR mielies Hoer opbrengs  " sheetId="3" r:id="rId3"/>
    <sheet name="W-BT Mielies " sheetId="4" r:id="rId4"/>
    <sheet name="Stapelgeen Mielie" sheetId="5" r:id="rId5"/>
    <sheet name="Verminbe Stapelgeen mielie -5jr" sheetId="6" r:id="rId6"/>
    <sheet name="Sonneblom" sheetId="7" r:id="rId7"/>
    <sheet name="Grondbone" sheetId="8" r:id="rId8"/>
    <sheet name="Sojabone" sheetId="9" r:id="rId9"/>
    <sheet name="Graansorghum" sheetId="10" r:id="rId10"/>
    <sheet name="Bes-mielies" sheetId="11" r:id="rId11"/>
  </sheets>
  <externalReferences>
    <externalReference r:id="rId14"/>
  </externalReferences>
  <definedNames>
    <definedName name="BTopbrengspeil">'W-BT Mielies '!$M$9:$M$14</definedName>
    <definedName name="_xlnm.Print_Area" localSheetId="10">'Bes-mielies'!$A$1:$I$44</definedName>
    <definedName name="_xlnm.Print_Area" localSheetId="9">'Graansorghum'!$A$1:$I$39</definedName>
    <definedName name="_xlnm.Print_Area" localSheetId="7">'Grondbone'!$A$1:$I$46</definedName>
    <definedName name="_xlnm.Print_Area" localSheetId="8">'Sojabone'!$A$1:$I$39</definedName>
    <definedName name="_xlnm.Print_Area" localSheetId="6">'Sonneblom'!$A$1:$I$39</definedName>
    <definedName name="_xlnm.Print_Area" localSheetId="4">'Stapelgeen Mielie'!$A$1:$I$43</definedName>
    <definedName name="_xlnm.Print_Area" localSheetId="5">'Verminbe Stapelgeen mielie -5jr'!$A$1:$I$43</definedName>
    <definedName name="_xlnm.Print_Area" localSheetId="3">'W-BT Mielies '!$A$1:$I$43</definedName>
    <definedName name="_xlnm.Print_Area" localSheetId="2">'W-RR mielies Hoer opbrengs  '!$A$1:$I$43</definedName>
    <definedName name="_xlnm.Print_Area" localSheetId="1">'W-RR mielies Laer opbrengs '!$A$1:$I$47</definedName>
    <definedName name="RRHpbrengspeil">'W-RR mielies Hoer opbrengs  '!$M$9:$M$14</definedName>
    <definedName name="RRLopbrengspeil">'W-RR mielies Laer opbrengs '!$M$9:$M$14</definedName>
    <definedName name="RRopbrengspeil">'W-RR mielies Laer opbrengs '!$M$9:$M$14</definedName>
    <definedName name="RRopbrens">'[1]W-BT Mielies'!$K$9:$K$14</definedName>
    <definedName name="Sojaopbrengspeil">'Sojabone'!$M$9:$M$13</definedName>
    <definedName name="Sonopbrengspeil">'Sonneblom'!$M$9:$M$14</definedName>
    <definedName name="Sorgopbrengspeil">'Graansorghum'!$M$9:$M$13</definedName>
    <definedName name="Verminopbrengspeil">'Verminbe Stapelgeen mielie -5jr'!$M$9:$M$14</definedName>
  </definedNames>
  <calcPr fullCalcOnLoad="1"/>
</workbook>
</file>

<file path=xl/comments1.xml><?xml version="1.0" encoding="utf-8"?>
<comments xmlns="http://schemas.openxmlformats.org/spreadsheetml/2006/main">
  <authors>
    <author>Petru Fourie</author>
  </authors>
  <commentList>
    <comment ref="D3" authorId="0">
      <text>
        <r>
          <rPr>
            <b/>
            <sz val="9"/>
            <rFont val="Tahoma"/>
            <family val="2"/>
          </rPr>
          <t>Petru Fourie:</t>
        </r>
        <r>
          <rPr>
            <sz val="9"/>
            <rFont val="Tahoma"/>
            <family val="2"/>
          </rPr>
          <t xml:space="preserve">
Include location diff, marketing cost etc</t>
        </r>
      </text>
    </comment>
  </commentList>
</comments>
</file>

<file path=xl/sharedStrings.xml><?xml version="1.0" encoding="utf-8"?>
<sst xmlns="http://schemas.openxmlformats.org/spreadsheetml/2006/main" count="521" uniqueCount="121">
  <si>
    <t>Rand/ton</t>
  </si>
  <si>
    <t>Produsent prys raming vir droëland WIT ROUND-UP READY MIELIES (hoe potensiaal)  / Producer price framework for dry land WHITE ROUND-UP READY MAIZE (high potential)</t>
  </si>
  <si>
    <t>Produsent prys raming vir droëland WIT ROUND-UP READY MIELIES vir die / Producer price framework for dry land WHITE ROUND-UP READY MAIZE for the</t>
  </si>
  <si>
    <t xml:space="preserve">Produsent prys raming vir droëland VERMINDEREDE BEWERKING STAPELGEEN MIELIES - 5de jaar / Producer price framework for dry land MINIMUM TILLAGE STAPELGENE maize - 5 years  </t>
  </si>
  <si>
    <t>Produsent prys raming vir droëland SONNEBLOM vir die                                                    Producer price framework for dry land SUNFLOWER for the</t>
  </si>
  <si>
    <t>Produsent prys raming vir droëland GRAANSORGHUM vir die                                                                 Producer price framework for dry land GRAIN SORGHUM for the</t>
  </si>
  <si>
    <t>Huidige Produkprys op plaas vir beste graad / Current product price for the best grade (R/TON) (Safex min bemarkingskoste/marketing cost)</t>
  </si>
  <si>
    <t>Beplanningsopbrengs / Estimated yields (ton/ha)</t>
  </si>
  <si>
    <t>Bruto produksiewaarde / Gross production value (R/ha)</t>
  </si>
  <si>
    <t>Direk Toedeelbare veranderlike koste / Direct Allocated Variable costs (R/ha)</t>
  </si>
  <si>
    <t>Saad / Seed</t>
  </si>
  <si>
    <t>Kunsmis / Fertiliser</t>
  </si>
  <si>
    <t>Kalk / Lime</t>
  </si>
  <si>
    <t>Brandstof / Fuel</t>
  </si>
  <si>
    <t>Reparasie / Reparation</t>
  </si>
  <si>
    <t>Onkruiddoders / Herbicide</t>
  </si>
  <si>
    <t>Plaagdoder / Pest control</t>
  </si>
  <si>
    <t>Insetversekering / Input insurance</t>
  </si>
  <si>
    <t>Graanprysverskansing / Grain hedging</t>
  </si>
  <si>
    <t>Kontrakstroop / Contract Harvesting</t>
  </si>
  <si>
    <t>Oesversekering / Harvest insurance</t>
  </si>
  <si>
    <t>Lugspuit / Aerial spray</t>
  </si>
  <si>
    <t>Losarbeid / Casual labour</t>
  </si>
  <si>
    <t>Droogkoste / Drying cost</t>
  </si>
  <si>
    <t>Verpakking en Pakmateriaal / Packaging and packaging material</t>
  </si>
  <si>
    <t>Produksiekrediet rente / Interest on production R/ha</t>
  </si>
  <si>
    <t>Totale Direk Toedeelbare veranderlike koste / Total Direct Allocated Variable Cost  (R/ha)</t>
  </si>
  <si>
    <t>Totale Oorhoofse koste / Total overhead cost R/ha</t>
  </si>
  <si>
    <t>Totale Koste per ha voor fisiese bemarking R/ha / Total cost per ha before marketing cost R/ha</t>
  </si>
  <si>
    <t>Totale koste per ton voor fisiese bemarking R/Ton / Total cost per ton before marketing cost R/Ton</t>
  </si>
  <si>
    <t>Totale bemarkingskoste / Total marketing cost R/ton</t>
  </si>
  <si>
    <t>Verwagte minimum Safex prys SONDER wins/ Expected minimum Safex price, WITHOUT profit</t>
  </si>
  <si>
    <t>Huidige Safex prys / Current Safex price</t>
  </si>
  <si>
    <t>Verwagte minimum prys SONDER wins/ Expected minimum price, WITHOUT profit</t>
  </si>
  <si>
    <t>Huidige prys / Current price (keur)</t>
  </si>
  <si>
    <t>Gemiddelde prys vir al die grade / Average price for all the grades</t>
  </si>
  <si>
    <t>Besproeiingskoste / Irrigation cost</t>
  </si>
  <si>
    <r>
      <t>Disclaimer:</t>
    </r>
    <r>
      <rPr>
        <sz val="11"/>
        <rFont val="Calibri"/>
        <family val="2"/>
      </rPr>
      <t xml:space="preserve"> The information herein has been obtained from various sources, the accuracy and/or completeness of which Grain SA does not</t>
    </r>
  </si>
  <si>
    <t>guarantee and for which Grain SA accepts no liability. Any prices or levels contained herein are preliminary and indicative only and do not</t>
  </si>
  <si>
    <t>represent bids or offers. These indications are provided solely for your information and consideration.</t>
  </si>
  <si>
    <t xml:space="preserve">                                        Thank you to the Maize Trust for partially funding this project</t>
  </si>
  <si>
    <t>Produsent prys raming vir droëland WIT STAPELGEEN MIELIES vir die  /                             Producer price framework for dry land WHITE STAPELGENE maize for the</t>
  </si>
  <si>
    <t>Produsent prys raming vir droëland GRONDBONE vir die /                                                               Producer price framework for dry land GROUNDNUTS for the</t>
  </si>
  <si>
    <t>Produsent prys raming vir droëland SOJABONE vir die                                                                              Producer price framework for dry land SOYBEANS for the</t>
  </si>
  <si>
    <t>Produsent prys raming vir BESPROEIING MIELIES vir die                                                                Producer price framework for IRRIGATION MAIZE for the</t>
  </si>
  <si>
    <t>Produsent prys raming vir droëland WIT ROUND-UP READY MIELIES (lae potensiaal)  /               Producer price framework for dry land WHITE ROUND-UP READY MAIZE (low potential)</t>
  </si>
  <si>
    <t>Gewas</t>
  </si>
  <si>
    <t>SAFEX pryse (R/ton)</t>
  </si>
  <si>
    <t>Total deductions (R/ton)</t>
  </si>
  <si>
    <t xml:space="preserve">                    Diverse</t>
  </si>
  <si>
    <t>MIELIES: SENSATIWITIETSANALISE - TOTALE KOSTES ( DIREKTE KOSTE + VASTE KOSTE)</t>
  </si>
  <si>
    <t>MIELIES: SENSATIWITIETSANALISE - DIREKTE KOSTE</t>
  </si>
  <si>
    <t>Lopendekoste / Variable cost (R/ha)</t>
  </si>
  <si>
    <t>Huidig</t>
  </si>
  <si>
    <t>Oorhoofse koste / Overhead cost (R/ha)</t>
  </si>
  <si>
    <t>SAFEX prys / price(R/ton)</t>
  </si>
  <si>
    <t>Totale Koste / Total cost (R/ha)</t>
  </si>
  <si>
    <t>Produsenteprys/ Producer price</t>
  </si>
  <si>
    <t>Opbrengs / Yield (t/ha)</t>
  </si>
  <si>
    <t>Gemid Opbrengs / Average Yield (t/ha)</t>
  </si>
  <si>
    <t>SAFEX Jul'17 WM 1 prys/price  (R/ton)</t>
  </si>
  <si>
    <t xml:space="preserve">Aftrekkings / Deductions </t>
  </si>
  <si>
    <t>Produsenteprys/ Producer price (R/ton)</t>
  </si>
  <si>
    <t>SONNEBLOM: SENSATIWITIETSANALISE - TOTALE KOSTES ( DIREKTE KOSTE + VASTE KOSTE)</t>
  </si>
  <si>
    <t>SONNEBLOM: SENSATIWITIETSANALISE - DIREKTE KOSTE</t>
  </si>
  <si>
    <t>SOJABONE: SENSATIWITIETSANALISE - TOTALE KOSTES ( DIREKTE KOSTE + VASTE KOSTE)</t>
  </si>
  <si>
    <t>SOJABONE: SENSATIWITIETSANALISE - DIREKTE KOSTE</t>
  </si>
  <si>
    <t>Huidige</t>
  </si>
  <si>
    <t>SAFEX Mei'17Soy prys/price  (R/ton)</t>
  </si>
  <si>
    <t xml:space="preserve">NWFS </t>
  </si>
  <si>
    <t>SORGHUM: SENSATIWITIETSANALISE - TOTALE KOSTES ( DIREKTE KOSTE + VASTE KOSTE)</t>
  </si>
  <si>
    <t>SORGHUM: SENSATIWITIETSANALISE - DIREKTE KOSTE</t>
  </si>
  <si>
    <t>SAFEX Jul'17 prys/price  (R/ton)</t>
  </si>
  <si>
    <t>Graadverdeling / Grade distribution</t>
  </si>
  <si>
    <t>Prys per graad / Price per grade (R/ton)</t>
  </si>
  <si>
    <t>%</t>
  </si>
  <si>
    <t>Keur / Choice</t>
  </si>
  <si>
    <t>Diverse / Diverse</t>
  </si>
  <si>
    <t xml:space="preserve">Pers (eet) / Crusch </t>
  </si>
  <si>
    <t>Pers (olie)</t>
  </si>
  <si>
    <t>Hooi verkope / sales</t>
  </si>
  <si>
    <t>Gemiddelde prys vir al die grade / Average price for all grades</t>
  </si>
  <si>
    <t>Datum opgedateer / Date updated</t>
  </si>
  <si>
    <t>SAFEX May'17 1 prys/price  (R/ton)</t>
  </si>
  <si>
    <t>BT MIELIES / BT MAIZE</t>
  </si>
  <si>
    <t>ROUNDUP READY MIELIES (Hoer potensiaal) / ROUNDUP READY MAIZE (Higher potential)</t>
  </si>
  <si>
    <t>ROUNDUP READY MIELIES (Laer potensiaal) / ROUNDUP READY MAIZE (Lower potential)</t>
  </si>
  <si>
    <t>VERMINDEREDE BEWERKING WIT STAPELGEEN MIELIES - 5de jaar / MIM TILLAGE STACK GENE MAIZE</t>
  </si>
  <si>
    <t>SOJABONE / SOYBEANS</t>
  </si>
  <si>
    <t>SONNEBLOM / SUNFLOWER</t>
  </si>
  <si>
    <t>GRAANSORGHUM / GRAIN SORGHUM</t>
  </si>
  <si>
    <t>Graansorghum / Grain sorghum</t>
  </si>
  <si>
    <t>Grondbone/ Groundnuts:  Keur/ Choice</t>
  </si>
  <si>
    <t xml:space="preserve">                    Pers (eet) / Crush (eat)</t>
  </si>
  <si>
    <t xml:space="preserve">                    Pers (olie) / Crush (oil)</t>
  </si>
  <si>
    <t>Opbrengspeil</t>
  </si>
  <si>
    <t>Lopende koste</t>
  </si>
  <si>
    <t>Oorhoofse koste</t>
  </si>
  <si>
    <t>RRLMielies</t>
  </si>
  <si>
    <t>RRHMielies</t>
  </si>
  <si>
    <t>BTMielies</t>
  </si>
  <si>
    <t>VerminMielies</t>
  </si>
  <si>
    <t>Sonneblom</t>
  </si>
  <si>
    <t>Sojabone</t>
  </si>
  <si>
    <t>Sorghum</t>
  </si>
  <si>
    <t>Mielies / Maize- Jul 18</t>
  </si>
  <si>
    <t>Sonneblom / Sunflower- Mei 18</t>
  </si>
  <si>
    <t>Sojabone / Soybeans- Mei 18</t>
  </si>
  <si>
    <t>Mielies / Maize - 2017/18</t>
  </si>
  <si>
    <t>Mielies / Maize -  2017/18</t>
  </si>
  <si>
    <t>Sonneblom / Sunflower -  2017/18</t>
  </si>
  <si>
    <t>Sojabone Soyabean - 2017/18</t>
  </si>
  <si>
    <t>Sorghum Sorghum -  2017/18</t>
  </si>
  <si>
    <t>PRODUKSIEJAAR   2017-18   PRODUCTION YEAR 2017-18</t>
  </si>
  <si>
    <t>PRODUKSIEJAAR   2017-18                   PRODUCTION YEAR 2017-18</t>
  </si>
  <si>
    <t>PRODUKSIEJAAR   2017-18               PRODUCTION YEAR 2017-18</t>
  </si>
  <si>
    <t>PRODUKSIEJAAR   2017-18                PRODUCTION YEAR 2017-18</t>
  </si>
  <si>
    <t>PRODUKSIEJAAR   2017-18            PRODUCTION YEAR 2017-18</t>
  </si>
  <si>
    <t>PRODUKSIEJAAR   2017-18                  PRODUCTION YEAR 2017-18</t>
  </si>
  <si>
    <t>PRODUKSIEJAAR   2017-18                 PRODUCTION YEAR 2017-18</t>
  </si>
  <si>
    <t xml:space="preserve">                    Hooi verkope / sales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</si>
</sst>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0.00_)"/>
    <numFmt numFmtId="174" formatCode="0_)"/>
    <numFmt numFmtId="175" formatCode="0.000"/>
    <numFmt numFmtId="176" formatCode="mm/dd/yy"/>
    <numFmt numFmtId="177" formatCode="_(* #,##0.000000000000000_);_(* \(#,##0.000000000000000\);_(* &quot;-&quot;???????????????_);_(@_)"/>
    <numFmt numFmtId="178" formatCode="0.0"/>
    <numFmt numFmtId="179" formatCode="0.000000"/>
    <numFmt numFmtId="180" formatCode="[$-436]dd\ mmmm\ yyyy;@"/>
    <numFmt numFmtId="181" formatCode="_ * #,##0.00_ ;_ * \-#,##0.00_ ;_ * &quot;-&quot;_ ;_ @_ "/>
    <numFmt numFmtId="182" formatCode="_ * #,##0.00000_ ;_ * \-#,##0.00000_ ;_ * &quot;-&quot;_ ;_ @_ "/>
    <numFmt numFmtId="183" formatCode="0.0%"/>
    <numFmt numFmtId="184" formatCode="0.0_)"/>
    <numFmt numFmtId="185" formatCode="_ * #,##0.0_ ;_ * \-#,##0.0_ ;_ * &quot;-&quot;?_ ;_ @_ "/>
    <numFmt numFmtId="186" formatCode="_ * #,##0.000_ ;_ * \-#,##0.000_ ;_ * &quot;-&quot;???_ ;_ @_ "/>
    <numFmt numFmtId="187" formatCode="0.0000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  <numFmt numFmtId="191" formatCode="_ * #,##0.000_ ;_ * \-#,##0.000_ ;_ * &quot;-&quot;??_ ;_ @_ "/>
    <numFmt numFmtId="192" formatCode="_ * #,##0_ ;_ * \-#,##0_ ;_ * &quot;-&quot;??_ ;_ @_ "/>
    <numFmt numFmtId="193" formatCode="_ * #,##0.00_ ;_ * \-#,##0.00_ ;_ * &quot;-&quot;?_ ;_ @_ "/>
    <numFmt numFmtId="194" formatCode="#,##0.0_ ;\-#,##0.0\ "/>
    <numFmt numFmtId="195" formatCode="#,##0.0"/>
    <numFmt numFmtId="196" formatCode="_ * #,##0.000000_ ;_ * \-#,##0.000000_ ;_ * &quot;-&quot;??_ ;_ @_ "/>
    <numFmt numFmtId="197" formatCode="_ * #,##0.0000000_ ;_ * \-#,##0.0000000_ ;_ * &quot;-&quot;??_ ;_ @_ "/>
    <numFmt numFmtId="198" formatCode="_ * #,##0.00000000_ ;_ * \-#,##0.00000000_ ;_ * &quot;-&quot;??_ ;_ @_ "/>
    <numFmt numFmtId="199" formatCode="0.000_)"/>
    <numFmt numFmtId="200" formatCode="_(&quot;$&quot;* #,##0.00_);_(&quot;$&quot;* \(#,##0.00\);_(&quot;$&quot;* &quot;-&quot;??_);_(@_)"/>
    <numFmt numFmtId="201" formatCode="0.0000000"/>
    <numFmt numFmtId="202" formatCode="0.00000000"/>
    <numFmt numFmtId="203" formatCode="0.00000"/>
    <numFmt numFmtId="204" formatCode="0.0000"/>
    <numFmt numFmtId="205" formatCode="&quot;R&quot;\ #,##0.00"/>
    <numFmt numFmtId="206" formatCode="&quot;R&quot;\ #,##0.000"/>
    <numFmt numFmtId="207" formatCode="&quot;R&quot;\ #,##0.0000"/>
    <numFmt numFmtId="208" formatCode="&quot;R&quot;\ #,##0.00000"/>
    <numFmt numFmtId="209" formatCode="&quot;R&quot;\ #,##0.0"/>
    <numFmt numFmtId="210" formatCode="&quot;R&quot;\ #,##0"/>
    <numFmt numFmtId="211" formatCode="_ * #,##0.0_ ;_ * \-#,##0.0_ ;_ * &quot;-&quot;??_ ;_ @_ "/>
    <numFmt numFmtId="212" formatCode="_-* #,##0_-;\-* #,##0_-;_-* &quot;-&quot;??_-;_-@_-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Segoe U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6FD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34" borderId="12" xfId="0" applyFont="1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Continuous"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2" fontId="1" fillId="35" borderId="13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Continuous"/>
      <protection hidden="1"/>
    </xf>
    <xf numFmtId="0" fontId="0" fillId="0" borderId="14" xfId="0" applyFont="1" applyFill="1" applyBorder="1" applyAlignment="1" applyProtection="1">
      <alignment/>
      <protection hidden="1"/>
    </xf>
    <xf numFmtId="2" fontId="1" fillId="0" borderId="15" xfId="0" applyNumberFormat="1" applyFont="1" applyFill="1" applyBorder="1" applyAlignment="1" applyProtection="1">
      <alignment/>
      <protection hidden="1"/>
    </xf>
    <xf numFmtId="172" fontId="0" fillId="0" borderId="0" xfId="0" applyNumberFormat="1" applyFont="1" applyBorder="1" applyAlignment="1" applyProtection="1">
      <alignment/>
      <protection hidden="1"/>
    </xf>
    <xf numFmtId="172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left"/>
      <protection hidden="1"/>
    </xf>
    <xf numFmtId="0" fontId="5" fillId="0" borderId="14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73" fontId="1" fillId="36" borderId="13" xfId="0" applyNumberFormat="1" applyFont="1" applyFill="1" applyBorder="1" applyAlignment="1" applyProtection="1">
      <alignment/>
      <protection hidden="1"/>
    </xf>
    <xf numFmtId="174" fontId="1" fillId="36" borderId="13" xfId="0" applyNumberFormat="1" applyFont="1" applyFill="1" applyBorder="1" applyAlignment="1" applyProtection="1">
      <alignment horizontal="right"/>
      <protection hidden="1"/>
    </xf>
    <xf numFmtId="0" fontId="0" fillId="34" borderId="13" xfId="0" applyFont="1" applyFill="1" applyBorder="1" applyAlignment="1" applyProtection="1">
      <alignment/>
      <protection hidden="1"/>
    </xf>
    <xf numFmtId="2" fontId="1" fillId="36" borderId="15" xfId="0" applyNumberFormat="1" applyFont="1" applyFill="1" applyBorder="1" applyAlignment="1" applyProtection="1">
      <alignment/>
      <protection hidden="1"/>
    </xf>
    <xf numFmtId="2" fontId="1" fillId="34" borderId="13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Border="1" applyAlignment="1" applyProtection="1">
      <alignment/>
      <protection hidden="1"/>
    </xf>
    <xf numFmtId="172" fontId="1" fillId="35" borderId="13" xfId="0" applyNumberFormat="1" applyFont="1" applyFill="1" applyBorder="1" applyAlignment="1" applyProtection="1">
      <alignment/>
      <protection hidden="1"/>
    </xf>
    <xf numFmtId="171" fontId="0" fillId="0" borderId="0" xfId="0" applyNumberFormat="1" applyFont="1" applyFill="1" applyAlignment="1" applyProtection="1">
      <alignment/>
      <protection hidden="1"/>
    </xf>
    <xf numFmtId="0" fontId="1" fillId="34" borderId="10" xfId="0" applyFont="1" applyFill="1" applyBorder="1" applyAlignment="1" applyProtection="1">
      <alignment/>
      <protection hidden="1"/>
    </xf>
    <xf numFmtId="171" fontId="1" fillId="0" borderId="17" xfId="0" applyNumberFormat="1" applyFont="1" applyFill="1" applyBorder="1" applyAlignment="1" applyProtection="1">
      <alignment/>
      <protection hidden="1"/>
    </xf>
    <xf numFmtId="171" fontId="1" fillId="0" borderId="18" xfId="0" applyNumberFormat="1" applyFont="1" applyFill="1" applyBorder="1" applyAlignment="1" applyProtection="1">
      <alignment/>
      <protection hidden="1"/>
    </xf>
    <xf numFmtId="171" fontId="1" fillId="35" borderId="13" xfId="0" applyNumberFormat="1" applyFont="1" applyFill="1" applyBorder="1" applyAlignment="1" applyProtection="1">
      <alignment/>
      <protection hidden="1"/>
    </xf>
    <xf numFmtId="171" fontId="1" fillId="36" borderId="15" xfId="0" applyNumberFormat="1" applyFont="1" applyFill="1" applyBorder="1" applyAlignment="1" applyProtection="1">
      <alignment/>
      <protection hidden="1"/>
    </xf>
    <xf numFmtId="171" fontId="1" fillId="34" borderId="13" xfId="0" applyNumberFormat="1" applyFont="1" applyFill="1" applyBorder="1" applyAlignment="1" applyProtection="1">
      <alignment/>
      <protection hidden="1"/>
    </xf>
    <xf numFmtId="171" fontId="1" fillId="0" borderId="15" xfId="0" applyNumberFormat="1" applyFont="1" applyFill="1" applyBorder="1" applyAlignment="1" applyProtection="1">
      <alignment/>
      <protection hidden="1"/>
    </xf>
    <xf numFmtId="171" fontId="1" fillId="35" borderId="13" xfId="0" applyNumberFormat="1" applyFont="1" applyFill="1" applyBorder="1" applyAlignment="1" applyProtection="1">
      <alignment horizontal="right"/>
      <protection hidden="1"/>
    </xf>
    <xf numFmtId="171" fontId="0" fillId="0" borderId="10" xfId="0" applyNumberFormat="1" applyFont="1" applyFill="1" applyBorder="1" applyAlignment="1" applyProtection="1">
      <alignment horizontal="centerContinuous"/>
      <protection hidden="1"/>
    </xf>
    <xf numFmtId="171" fontId="1" fillId="0" borderId="0" xfId="0" applyNumberFormat="1" applyFont="1" applyFill="1" applyBorder="1" applyAlignment="1" applyProtection="1">
      <alignment/>
      <protection hidden="1"/>
    </xf>
    <xf numFmtId="171" fontId="1" fillId="34" borderId="10" xfId="0" applyNumberFormat="1" applyFont="1" applyFill="1" applyBorder="1" applyAlignment="1" applyProtection="1">
      <alignment horizontal="left"/>
      <protection hidden="1"/>
    </xf>
    <xf numFmtId="171" fontId="1" fillId="36" borderId="13" xfId="0" applyNumberFormat="1" applyFont="1" applyFill="1" applyBorder="1" applyAlignment="1" applyProtection="1">
      <alignment/>
      <protection hidden="1"/>
    </xf>
    <xf numFmtId="171" fontId="1" fillId="36" borderId="13" xfId="0" applyNumberFormat="1" applyFont="1" applyFill="1" applyBorder="1" applyAlignment="1" applyProtection="1">
      <alignment horizontal="right"/>
      <protection hidden="1"/>
    </xf>
    <xf numFmtId="171" fontId="0" fillId="34" borderId="13" xfId="0" applyNumberFormat="1" applyFont="1" applyFill="1" applyBorder="1" applyAlignment="1" applyProtection="1">
      <alignment/>
      <protection hidden="1"/>
    </xf>
    <xf numFmtId="171" fontId="1" fillId="0" borderId="10" xfId="0" applyNumberFormat="1" applyFont="1" applyFill="1" applyBorder="1" applyAlignment="1" applyProtection="1">
      <alignment horizontal="centerContinuous"/>
      <protection hidden="1"/>
    </xf>
    <xf numFmtId="171" fontId="2" fillId="0" borderId="10" xfId="0" applyNumberFormat="1" applyFont="1" applyFill="1" applyBorder="1" applyAlignment="1" applyProtection="1">
      <alignment/>
      <protection hidden="1"/>
    </xf>
    <xf numFmtId="171" fontId="1" fillId="0" borderId="10" xfId="0" applyNumberFormat="1" applyFont="1" applyFill="1" applyBorder="1" applyAlignment="1" applyProtection="1">
      <alignment horizontal="left"/>
      <protection hidden="1"/>
    </xf>
    <xf numFmtId="171" fontId="0" fillId="0" borderId="12" xfId="0" applyNumberFormat="1" applyFont="1" applyFill="1" applyBorder="1" applyAlignment="1" applyProtection="1">
      <alignment/>
      <protection hidden="1"/>
    </xf>
    <xf numFmtId="185" fontId="1" fillId="36" borderId="13" xfId="0" applyNumberFormat="1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 horizontal="centerContinuous"/>
      <protection hidden="1"/>
    </xf>
    <xf numFmtId="171" fontId="11" fillId="35" borderId="13" xfId="0" applyNumberFormat="1" applyFont="1" applyFill="1" applyBorder="1" applyAlignment="1" applyProtection="1">
      <alignment/>
      <protection hidden="1"/>
    </xf>
    <xf numFmtId="193" fontId="1" fillId="36" borderId="13" xfId="0" applyNumberFormat="1" applyFont="1" applyFill="1" applyBorder="1" applyAlignment="1" applyProtection="1">
      <alignment/>
      <protection hidden="1"/>
    </xf>
    <xf numFmtId="171" fontId="0" fillId="0" borderId="0" xfId="0" applyNumberFormat="1" applyFont="1" applyBorder="1" applyAlignment="1" applyProtection="1">
      <alignment/>
      <protection hidden="1"/>
    </xf>
    <xf numFmtId="185" fontId="1" fillId="0" borderId="0" xfId="0" applyNumberFormat="1" applyFont="1" applyFill="1" applyBorder="1" applyAlignment="1" applyProtection="1">
      <alignment/>
      <protection hidden="1"/>
    </xf>
    <xf numFmtId="171" fontId="1" fillId="0" borderId="0" xfId="0" applyNumberFormat="1" applyFont="1" applyFill="1" applyBorder="1" applyAlignment="1" applyProtection="1">
      <alignment horizontal="right"/>
      <protection hidden="1"/>
    </xf>
    <xf numFmtId="174" fontId="1" fillId="0" borderId="0" xfId="0" applyNumberFormat="1" applyFont="1" applyFill="1" applyBorder="1" applyAlignment="1" applyProtection="1">
      <alignment horizontal="right"/>
      <protection hidden="1"/>
    </xf>
    <xf numFmtId="0" fontId="1" fillId="34" borderId="19" xfId="0" applyFont="1" applyFill="1" applyBorder="1" applyAlignment="1" applyProtection="1">
      <alignment horizontal="left"/>
      <protection hidden="1"/>
    </xf>
    <xf numFmtId="0" fontId="1" fillId="34" borderId="10" xfId="0" applyFont="1" applyFill="1" applyBorder="1" applyAlignment="1" applyProtection="1">
      <alignment horizontal="left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9" xfId="0" applyFont="1" applyFill="1" applyBorder="1" applyAlignment="1" applyProtection="1">
      <alignment horizontal="left"/>
      <protection hidden="1"/>
    </xf>
    <xf numFmtId="0" fontId="1" fillId="35" borderId="19" xfId="0" applyFont="1" applyFill="1" applyBorder="1" applyAlignment="1" applyProtection="1">
      <alignment horizontal="left"/>
      <protection hidden="1"/>
    </xf>
    <xf numFmtId="0" fontId="1" fillId="35" borderId="10" xfId="0" applyFont="1" applyFill="1" applyBorder="1" applyAlignment="1" applyProtection="1">
      <alignment horizontal="left"/>
      <protection hidden="1"/>
    </xf>
    <xf numFmtId="173" fontId="1" fillId="35" borderId="12" xfId="0" applyNumberFormat="1" applyFont="1" applyFill="1" applyBorder="1" applyAlignment="1" applyProtection="1">
      <alignment horizontal="left"/>
      <protection hidden="1"/>
    </xf>
    <xf numFmtId="0" fontId="1" fillId="0" borderId="19" xfId="72" applyFont="1" applyFill="1" applyBorder="1" applyAlignment="1" applyProtection="1">
      <alignment horizontal="left"/>
      <protection hidden="1"/>
    </xf>
    <xf numFmtId="0" fontId="1" fillId="35" borderId="19" xfId="72" applyFont="1" applyFill="1" applyBorder="1" applyAlignment="1" applyProtection="1">
      <alignment horizontal="left"/>
      <protection hidden="1"/>
    </xf>
    <xf numFmtId="0" fontId="1" fillId="0" borderId="21" xfId="72" applyFont="1" applyFill="1" applyBorder="1" applyAlignment="1" applyProtection="1">
      <alignment horizontal="left"/>
      <protection hidden="1"/>
    </xf>
    <xf numFmtId="0" fontId="1" fillId="0" borderId="20" xfId="72" applyFont="1" applyFill="1" applyBorder="1" applyAlignment="1" applyProtection="1">
      <alignment horizontal="left"/>
      <protection hidden="1"/>
    </xf>
    <xf numFmtId="0" fontId="1" fillId="0" borderId="0" xfId="72" applyFont="1" applyFill="1" applyBorder="1" applyAlignment="1" applyProtection="1">
      <alignment horizontal="left"/>
      <protection hidden="1"/>
    </xf>
    <xf numFmtId="0" fontId="1" fillId="0" borderId="22" xfId="72" applyFont="1" applyFill="1" applyBorder="1" applyAlignment="1" applyProtection="1">
      <alignment horizontal="left"/>
      <protection hidden="1"/>
    </xf>
    <xf numFmtId="0" fontId="1" fillId="0" borderId="23" xfId="72" applyFont="1" applyFill="1" applyBorder="1" applyAlignment="1" applyProtection="1">
      <alignment horizontal="left"/>
      <protection hidden="1"/>
    </xf>
    <xf numFmtId="0" fontId="1" fillId="0" borderId="24" xfId="72" applyFont="1" applyFill="1" applyBorder="1" applyAlignment="1" applyProtection="1">
      <alignment horizontal="left"/>
      <protection hidden="1"/>
    </xf>
    <xf numFmtId="0" fontId="1" fillId="36" borderId="20" xfId="72" applyFont="1" applyFill="1" applyBorder="1" applyAlignment="1" applyProtection="1">
      <alignment horizontal="left"/>
      <protection hidden="1"/>
    </xf>
    <xf numFmtId="0" fontId="1" fillId="36" borderId="0" xfId="72" applyFont="1" applyFill="1" applyBorder="1" applyAlignment="1" applyProtection="1">
      <alignment horizontal="left"/>
      <protection hidden="1"/>
    </xf>
    <xf numFmtId="0" fontId="1" fillId="34" borderId="19" xfId="72" applyFont="1" applyFill="1" applyBorder="1" applyAlignment="1" applyProtection="1">
      <alignment horizontal="left"/>
      <protection hidden="1"/>
    </xf>
    <xf numFmtId="0" fontId="1" fillId="34" borderId="10" xfId="72" applyFont="1" applyFill="1" applyBorder="1" applyAlignment="1" applyProtection="1">
      <alignment horizontal="left"/>
      <protection hidden="1"/>
    </xf>
    <xf numFmtId="0" fontId="0" fillId="34" borderId="12" xfId="72" applyFont="1" applyFill="1" applyBorder="1" applyAlignment="1" applyProtection="1">
      <alignment/>
      <protection hidden="1"/>
    </xf>
    <xf numFmtId="0" fontId="1" fillId="0" borderId="10" xfId="72" applyFont="1" applyFill="1" applyBorder="1" applyAlignment="1" applyProtection="1">
      <alignment horizontal="left"/>
      <protection hidden="1"/>
    </xf>
    <xf numFmtId="0" fontId="1" fillId="35" borderId="10" xfId="72" applyFont="1" applyFill="1" applyBorder="1" applyAlignment="1" applyProtection="1">
      <alignment horizontal="left"/>
      <protection hidden="1"/>
    </xf>
    <xf numFmtId="173" fontId="1" fillId="35" borderId="12" xfId="72" applyNumberFormat="1" applyFont="1" applyFill="1" applyBorder="1" applyAlignment="1" applyProtection="1">
      <alignment horizontal="left"/>
      <protection hidden="1"/>
    </xf>
    <xf numFmtId="0" fontId="0" fillId="0" borderId="0" xfId="72">
      <alignment/>
      <protection/>
    </xf>
    <xf numFmtId="0" fontId="12" fillId="36" borderId="25" xfId="72" applyNumberFormat="1" applyFont="1" applyFill="1" applyBorder="1" applyAlignment="1">
      <alignment vertical="center"/>
      <protection/>
    </xf>
    <xf numFmtId="0" fontId="0" fillId="36" borderId="26" xfId="72" applyNumberFormat="1" applyFont="1" applyFill="1" applyBorder="1" applyAlignment="1" applyProtection="1">
      <alignment/>
      <protection hidden="1"/>
    </xf>
    <xf numFmtId="0" fontId="0" fillId="36" borderId="27" xfId="72" applyNumberFormat="1" applyFont="1" applyFill="1" applyBorder="1" applyAlignment="1" applyProtection="1">
      <alignment/>
      <protection hidden="1"/>
    </xf>
    <xf numFmtId="0" fontId="13" fillId="36" borderId="20" xfId="72" applyNumberFormat="1" applyFont="1" applyFill="1" applyBorder="1" applyAlignment="1">
      <alignment vertical="center"/>
      <protection/>
    </xf>
    <xf numFmtId="0" fontId="0" fillId="36" borderId="0" xfId="72" applyNumberFormat="1" applyFont="1" applyFill="1" applyBorder="1" applyAlignment="1" applyProtection="1">
      <alignment/>
      <protection hidden="1"/>
    </xf>
    <xf numFmtId="0" fontId="0" fillId="36" borderId="28" xfId="72" applyNumberFormat="1" applyFont="1" applyFill="1" applyBorder="1" applyAlignment="1" applyProtection="1">
      <alignment/>
      <protection hidden="1"/>
    </xf>
    <xf numFmtId="0" fontId="13" fillId="36" borderId="16" xfId="72" applyNumberFormat="1" applyFont="1" applyFill="1" applyBorder="1" applyAlignment="1">
      <alignment vertical="center"/>
      <protection/>
    </xf>
    <xf numFmtId="0" fontId="0" fillId="36" borderId="14" xfId="72" applyNumberFormat="1" applyFont="1" applyFill="1" applyBorder="1" applyAlignment="1" applyProtection="1">
      <alignment/>
      <protection hidden="1"/>
    </xf>
    <xf numFmtId="0" fontId="0" fillId="36" borderId="11" xfId="72" applyNumberFormat="1" applyFont="1" applyFill="1" applyBorder="1" applyAlignment="1" applyProtection="1">
      <alignment/>
      <protection hidden="1"/>
    </xf>
    <xf numFmtId="0" fontId="57" fillId="0" borderId="0" xfId="98" applyFont="1">
      <alignment/>
      <protection/>
    </xf>
    <xf numFmtId="0" fontId="0" fillId="0" borderId="0" xfId="98">
      <alignment/>
      <protection/>
    </xf>
    <xf numFmtId="0" fontId="4" fillId="0" borderId="0" xfId="98" applyFont="1">
      <alignment/>
      <protection/>
    </xf>
    <xf numFmtId="0" fontId="55" fillId="16" borderId="29" xfId="75" applyFont="1" applyFill="1" applyBorder="1" applyAlignment="1">
      <alignment horizontal="center" wrapText="1"/>
      <protection/>
    </xf>
    <xf numFmtId="0" fontId="0" fillId="0" borderId="0" xfId="98" applyFill="1">
      <alignment/>
      <protection/>
    </xf>
    <xf numFmtId="0" fontId="4" fillId="0" borderId="0" xfId="98" applyFont="1" applyFill="1">
      <alignment/>
      <protection/>
    </xf>
    <xf numFmtId="0" fontId="4" fillId="0" borderId="19" xfId="98" applyFont="1" applyBorder="1">
      <alignment/>
      <protection/>
    </xf>
    <xf numFmtId="14" fontId="1" fillId="0" borderId="0" xfId="98" applyNumberFormat="1" applyFont="1" applyBorder="1">
      <alignment/>
      <protection/>
    </xf>
    <xf numFmtId="0" fontId="0" fillId="5" borderId="30" xfId="98" applyFont="1" applyFill="1" applyBorder="1" applyAlignment="1">
      <alignment horizontal="left" vertical="center"/>
      <protection/>
    </xf>
    <xf numFmtId="171" fontId="0" fillId="0" borderId="0" xfId="98" applyNumberFormat="1" applyBorder="1" applyAlignment="1">
      <alignment horizontal="center"/>
      <protection/>
    </xf>
    <xf numFmtId="0" fontId="0" fillId="0" borderId="19" xfId="98" applyFont="1" applyBorder="1" applyAlignment="1">
      <alignment horizontal="center" vertical="center" wrapText="1"/>
      <protection/>
    </xf>
    <xf numFmtId="0" fontId="0" fillId="0" borderId="10" xfId="98" applyFont="1" applyBorder="1" applyAlignment="1">
      <alignment horizontal="center" vertical="center" wrapText="1"/>
      <protection/>
    </xf>
    <xf numFmtId="0" fontId="58" fillId="36" borderId="13" xfId="98" applyFont="1" applyFill="1" applyBorder="1" applyAlignment="1">
      <alignment horizontal="center" vertical="center"/>
      <protection/>
    </xf>
    <xf numFmtId="0" fontId="59" fillId="36" borderId="13" xfId="98" applyFont="1" applyFill="1" applyBorder="1" applyAlignment="1">
      <alignment horizontal="center" vertical="center"/>
      <protection/>
    </xf>
    <xf numFmtId="0" fontId="58" fillId="36" borderId="10" xfId="98" applyFont="1" applyFill="1" applyBorder="1" applyAlignment="1">
      <alignment horizontal="center" vertical="center"/>
      <protection/>
    </xf>
    <xf numFmtId="0" fontId="0" fillId="5" borderId="21" xfId="98" applyFont="1" applyFill="1" applyBorder="1" applyAlignment="1">
      <alignment horizontal="left" vertical="center"/>
      <protection/>
    </xf>
    <xf numFmtId="0" fontId="1" fillId="36" borderId="13" xfId="98" applyFont="1" applyFill="1" applyBorder="1" applyAlignment="1">
      <alignment horizontal="center" vertical="center"/>
      <protection/>
    </xf>
    <xf numFmtId="210" fontId="58" fillId="36" borderId="13" xfId="98" applyNumberFormat="1" applyFont="1" applyFill="1" applyBorder="1" applyAlignment="1">
      <alignment horizontal="center" vertical="center"/>
      <protection/>
    </xf>
    <xf numFmtId="0" fontId="1" fillId="36" borderId="13" xfId="98" applyNumberFormat="1" applyFont="1" applyFill="1" applyBorder="1" applyAlignment="1">
      <alignment horizontal="center" vertical="center"/>
      <protection/>
    </xf>
    <xf numFmtId="0" fontId="58" fillId="36" borderId="13" xfId="98" applyNumberFormat="1" applyFont="1" applyFill="1" applyBorder="1" applyAlignment="1">
      <alignment horizontal="center" vertical="center"/>
      <protection/>
    </xf>
    <xf numFmtId="0" fontId="1" fillId="5" borderId="21" xfId="98" applyFont="1" applyFill="1" applyBorder="1" applyAlignment="1">
      <alignment horizontal="left" vertical="center"/>
      <protection/>
    </xf>
    <xf numFmtId="171" fontId="1" fillId="5" borderId="18" xfId="98" applyNumberFormat="1" applyFont="1" applyFill="1" applyBorder="1" applyAlignment="1">
      <alignment horizontal="center"/>
      <protection/>
    </xf>
    <xf numFmtId="171" fontId="1" fillId="0" borderId="0" xfId="98" applyNumberFormat="1" applyFont="1" applyBorder="1" applyAlignment="1">
      <alignment horizontal="center"/>
      <protection/>
    </xf>
    <xf numFmtId="0" fontId="1" fillId="0" borderId="31" xfId="98" applyNumberFormat="1" applyFont="1" applyBorder="1" applyAlignment="1">
      <alignment horizontal="center" vertical="center"/>
      <protection/>
    </xf>
    <xf numFmtId="210" fontId="58" fillId="0" borderId="31" xfId="98" applyNumberFormat="1" applyFont="1" applyBorder="1" applyAlignment="1">
      <alignment horizontal="center" vertical="center"/>
      <protection/>
    </xf>
    <xf numFmtId="0" fontId="58" fillId="0" borderId="31" xfId="98" applyNumberFormat="1" applyFont="1" applyBorder="1" applyAlignment="1">
      <alignment horizontal="center" vertical="center"/>
      <protection/>
    </xf>
    <xf numFmtId="0" fontId="0" fillId="0" borderId="21" xfId="98" applyFont="1" applyBorder="1" applyAlignment="1">
      <alignment horizontal="left" vertical="center"/>
      <protection/>
    </xf>
    <xf numFmtId="171" fontId="0" fillId="0" borderId="18" xfId="98" applyNumberFormat="1" applyBorder="1" applyAlignment="1">
      <alignment horizontal="center"/>
      <protection/>
    </xf>
    <xf numFmtId="178" fontId="1" fillId="0" borderId="19" xfId="98" applyNumberFormat="1" applyFont="1" applyBorder="1" applyAlignment="1">
      <alignment horizontal="center" vertical="center"/>
      <protection/>
    </xf>
    <xf numFmtId="1" fontId="1" fillId="37" borderId="32" xfId="98" applyNumberFormat="1" applyFont="1" applyFill="1" applyBorder="1" applyAlignment="1">
      <alignment horizontal="center" vertical="center"/>
      <protection/>
    </xf>
    <xf numFmtId="1" fontId="1" fillId="37" borderId="33" xfId="98" applyNumberFormat="1" applyFont="1" applyFill="1" applyBorder="1" applyAlignment="1">
      <alignment horizontal="center" vertical="center"/>
      <protection/>
    </xf>
    <xf numFmtId="1" fontId="1" fillId="38" borderId="33" xfId="98" applyNumberFormat="1" applyFont="1" applyFill="1" applyBorder="1" applyAlignment="1">
      <alignment horizontal="center" vertical="center"/>
      <protection/>
    </xf>
    <xf numFmtId="1" fontId="1" fillId="38" borderId="34" xfId="98" applyNumberFormat="1" applyFont="1" applyFill="1" applyBorder="1" applyAlignment="1">
      <alignment horizontal="center" vertical="center"/>
      <protection/>
    </xf>
    <xf numFmtId="0" fontId="0" fillId="12" borderId="21" xfId="98" applyFont="1" applyFill="1" applyBorder="1" applyAlignment="1">
      <alignment horizontal="left" vertical="center"/>
      <protection/>
    </xf>
    <xf numFmtId="1" fontId="1" fillId="37" borderId="35" xfId="98" applyNumberFormat="1" applyFont="1" applyFill="1" applyBorder="1" applyAlignment="1">
      <alignment horizontal="center" vertical="center"/>
      <protection/>
    </xf>
    <xf numFmtId="1" fontId="1" fillId="37" borderId="29" xfId="98" applyNumberFormat="1" applyFont="1" applyFill="1" applyBorder="1" applyAlignment="1">
      <alignment horizontal="center" vertical="center"/>
      <protection/>
    </xf>
    <xf numFmtId="1" fontId="1" fillId="38" borderId="29" xfId="98" applyNumberFormat="1" applyFont="1" applyFill="1" applyBorder="1" applyAlignment="1">
      <alignment horizontal="center" vertical="center"/>
      <protection/>
    </xf>
    <xf numFmtId="1" fontId="1" fillId="38" borderId="36" xfId="98" applyNumberFormat="1" applyFont="1" applyFill="1" applyBorder="1" applyAlignment="1">
      <alignment horizontal="center" vertical="center"/>
      <protection/>
    </xf>
    <xf numFmtId="178" fontId="58" fillId="0" borderId="19" xfId="98" applyNumberFormat="1" applyFont="1" applyBorder="1" applyAlignment="1">
      <alignment horizontal="center" vertical="center"/>
      <protection/>
    </xf>
    <xf numFmtId="0" fontId="0" fillId="7" borderId="21" xfId="98" applyFont="1" applyFill="1" applyBorder="1" applyAlignment="1">
      <alignment horizontal="left" vertical="center"/>
      <protection/>
    </xf>
    <xf numFmtId="210" fontId="0" fillId="7" borderId="18" xfId="98" applyNumberFormat="1" applyFill="1" applyBorder="1" applyAlignment="1">
      <alignment horizontal="center"/>
      <protection/>
    </xf>
    <xf numFmtId="0" fontId="0" fillId="7" borderId="21" xfId="98" applyFont="1" applyFill="1" applyBorder="1" applyAlignment="1">
      <alignment horizontal="left" vertical="center" wrapText="1"/>
      <protection/>
    </xf>
    <xf numFmtId="1" fontId="1" fillId="37" borderId="37" xfId="98" applyNumberFormat="1" applyFont="1" applyFill="1" applyBorder="1" applyAlignment="1">
      <alignment horizontal="center" vertical="center"/>
      <protection/>
    </xf>
    <xf numFmtId="1" fontId="1" fillId="37" borderId="38" xfId="98" applyNumberFormat="1" applyFont="1" applyFill="1" applyBorder="1" applyAlignment="1">
      <alignment horizontal="center" vertical="center"/>
      <protection/>
    </xf>
    <xf numFmtId="1" fontId="1" fillId="38" borderId="38" xfId="98" applyNumberFormat="1" applyFont="1" applyFill="1" applyBorder="1" applyAlignment="1">
      <alignment horizontal="center" vertical="center"/>
      <protection/>
    </xf>
    <xf numFmtId="1" fontId="1" fillId="38" borderId="39" xfId="98" applyNumberFormat="1" applyFont="1" applyFill="1" applyBorder="1" applyAlignment="1">
      <alignment horizontal="center" vertical="center"/>
      <protection/>
    </xf>
    <xf numFmtId="0" fontId="1" fillId="7" borderId="40" xfId="98" applyFont="1" applyFill="1" applyBorder="1" applyAlignment="1">
      <alignment horizontal="left" vertical="center" wrapText="1"/>
      <protection/>
    </xf>
    <xf numFmtId="171" fontId="1" fillId="7" borderId="41" xfId="98" applyNumberFormat="1" applyFont="1" applyFill="1" applyBorder="1" applyAlignment="1">
      <alignment horizontal="center"/>
      <protection/>
    </xf>
    <xf numFmtId="0" fontId="14" fillId="0" borderId="0" xfId="98" applyFont="1" applyBorder="1" applyAlignment="1">
      <alignment horizontal="center" vertical="center" textRotation="90" wrapText="1"/>
      <protection/>
    </xf>
    <xf numFmtId="178" fontId="14" fillId="0" borderId="0" xfId="98" applyNumberFormat="1" applyFont="1" applyBorder="1" applyAlignment="1">
      <alignment horizontal="center" vertical="center"/>
      <protection/>
    </xf>
    <xf numFmtId="1" fontId="14" fillId="0" borderId="0" xfId="98" applyNumberFormat="1" applyFont="1" applyFill="1" applyBorder="1" applyAlignment="1">
      <alignment horizontal="center" vertical="center"/>
      <protection/>
    </xf>
    <xf numFmtId="0" fontId="1" fillId="0" borderId="0" xfId="98" applyFont="1" applyFill="1" applyBorder="1" applyAlignment="1">
      <alignment horizontal="left" vertical="center" wrapText="1"/>
      <protection/>
    </xf>
    <xf numFmtId="171" fontId="1" fillId="0" borderId="0" xfId="98" applyNumberFormat="1" applyFont="1" applyFill="1" applyBorder="1" applyAlignment="1">
      <alignment horizontal="center"/>
      <protection/>
    </xf>
    <xf numFmtId="171" fontId="0" fillId="0" borderId="0" xfId="98" applyNumberFormat="1" applyFill="1" applyBorder="1" applyAlignment="1">
      <alignment horizontal="center"/>
      <protection/>
    </xf>
    <xf numFmtId="0" fontId="14" fillId="0" borderId="0" xfId="98" applyFont="1" applyFill="1" applyBorder="1" applyAlignment="1">
      <alignment horizontal="center" vertical="center" textRotation="90" wrapText="1"/>
      <protection/>
    </xf>
    <xf numFmtId="178" fontId="14" fillId="0" borderId="0" xfId="98" applyNumberFormat="1" applyFont="1" applyFill="1" applyBorder="1" applyAlignment="1">
      <alignment horizontal="center" vertical="center"/>
      <protection/>
    </xf>
    <xf numFmtId="192" fontId="1" fillId="36" borderId="13" xfId="98" applyNumberFormat="1" applyFont="1" applyFill="1" applyBorder="1" applyAlignment="1">
      <alignment horizontal="center" vertical="center"/>
      <protection/>
    </xf>
    <xf numFmtId="192" fontId="59" fillId="36" borderId="13" xfId="98" applyNumberFormat="1" applyFont="1" applyFill="1" applyBorder="1" applyAlignment="1">
      <alignment horizontal="center" vertical="center"/>
      <protection/>
    </xf>
    <xf numFmtId="192" fontId="58" fillId="36" borderId="13" xfId="98" applyNumberFormat="1" applyFont="1" applyFill="1" applyBorder="1" applyAlignment="1">
      <alignment horizontal="center" vertical="center"/>
      <protection/>
    </xf>
    <xf numFmtId="192" fontId="59" fillId="0" borderId="31" xfId="98" applyNumberFormat="1" applyFont="1" applyBorder="1" applyAlignment="1">
      <alignment horizontal="center" vertical="center"/>
      <protection/>
    </xf>
    <xf numFmtId="192" fontId="58" fillId="0" borderId="31" xfId="98" applyNumberFormat="1" applyFont="1" applyBorder="1" applyAlignment="1">
      <alignment horizontal="center" vertical="center"/>
      <protection/>
    </xf>
    <xf numFmtId="171" fontId="0" fillId="0" borderId="0" xfId="98" applyNumberFormat="1" applyBorder="1" applyAlignment="1">
      <alignment horizontal="center" vertical="center"/>
      <protection/>
    </xf>
    <xf numFmtId="0" fontId="1" fillId="0" borderId="0" xfId="98" applyFont="1" applyBorder="1" applyAlignment="1">
      <alignment horizontal="center" vertical="center"/>
      <protection/>
    </xf>
    <xf numFmtId="192" fontId="1" fillId="0" borderId="31" xfId="98" applyNumberFormat="1" applyFont="1" applyBorder="1" applyAlignment="1">
      <alignment horizontal="center" vertical="center"/>
      <protection/>
    </xf>
    <xf numFmtId="0" fontId="0" fillId="0" borderId="0" xfId="98" applyBorder="1" applyAlignment="1">
      <alignment horizontal="center" vertical="center"/>
      <protection/>
    </xf>
    <xf numFmtId="2" fontId="0" fillId="0" borderId="0" xfId="98" applyNumberFormat="1" applyBorder="1" applyAlignment="1">
      <alignment horizontal="center" vertical="center"/>
      <protection/>
    </xf>
    <xf numFmtId="205" fontId="0" fillId="7" borderId="18" xfId="98" applyNumberFormat="1" applyFill="1" applyBorder="1" applyAlignment="1">
      <alignment horizontal="center"/>
      <protection/>
    </xf>
    <xf numFmtId="171" fontId="0" fillId="0" borderId="0" xfId="98" applyNumberFormat="1" applyBorder="1" applyAlignment="1">
      <alignment horizontal="center" vertical="center" wrapText="1"/>
      <protection/>
    </xf>
    <xf numFmtId="0" fontId="55" fillId="16" borderId="29" xfId="0" applyFont="1" applyFill="1" applyBorder="1" applyAlignment="1">
      <alignment/>
    </xf>
    <xf numFmtId="0" fontId="55" fillId="0" borderId="29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210" fontId="55" fillId="0" borderId="0" xfId="0" applyNumberFormat="1" applyFont="1" applyFill="1" applyBorder="1" applyAlignment="1">
      <alignment horizontal="center"/>
    </xf>
    <xf numFmtId="14" fontId="1" fillId="0" borderId="13" xfId="98" applyNumberFormat="1" applyFont="1" applyBorder="1">
      <alignment/>
      <protection/>
    </xf>
    <xf numFmtId="210" fontId="1" fillId="7" borderId="41" xfId="98" applyNumberFormat="1" applyFont="1" applyFill="1" applyBorder="1" applyAlignment="1">
      <alignment horizontal="center"/>
      <protection/>
    </xf>
    <xf numFmtId="205" fontId="1" fillId="7" borderId="41" xfId="98" applyNumberFormat="1" applyFont="1" applyFill="1" applyBorder="1" applyAlignment="1">
      <alignment horizontal="center"/>
      <protection/>
    </xf>
    <xf numFmtId="0" fontId="1" fillId="34" borderId="12" xfId="72" applyFont="1" applyFill="1" applyBorder="1" applyAlignment="1" applyProtection="1">
      <alignment horizontal="left" vertical="center"/>
      <protection hidden="1"/>
    </xf>
    <xf numFmtId="0" fontId="1" fillId="34" borderId="12" xfId="72" applyFont="1" applyFill="1" applyBorder="1" applyAlignment="1" applyProtection="1">
      <alignment vertical="center" wrapText="1"/>
      <protection hidden="1"/>
    </xf>
    <xf numFmtId="0" fontId="0" fillId="34" borderId="12" xfId="72" applyFont="1" applyFill="1" applyBorder="1" applyAlignment="1" applyProtection="1">
      <alignment vertical="center"/>
      <protection hidden="1"/>
    </xf>
    <xf numFmtId="0" fontId="0" fillId="0" borderId="0" xfId="72" applyFont="1" applyFill="1" applyBorder="1" applyAlignment="1" applyProtection="1">
      <alignment/>
      <protection hidden="1"/>
    </xf>
    <xf numFmtId="0" fontId="0" fillId="0" borderId="0" xfId="72" applyFont="1" applyFill="1" applyAlignment="1" applyProtection="1">
      <alignment/>
      <protection hidden="1"/>
    </xf>
    <xf numFmtId="0" fontId="1" fillId="0" borderId="35" xfId="72" applyFont="1" applyFill="1" applyBorder="1" applyAlignment="1" applyProtection="1">
      <alignment horizontal="left"/>
      <protection locked="0"/>
    </xf>
    <xf numFmtId="0" fontId="1" fillId="0" borderId="29" xfId="72" applyFont="1" applyFill="1" applyBorder="1" applyAlignment="1" applyProtection="1">
      <alignment horizontal="left"/>
      <protection hidden="1"/>
    </xf>
    <xf numFmtId="171" fontId="1" fillId="0" borderId="29" xfId="72" applyNumberFormat="1" applyFont="1" applyFill="1" applyBorder="1" applyAlignment="1" applyProtection="1">
      <alignment/>
      <protection hidden="1"/>
    </xf>
    <xf numFmtId="10" fontId="2" fillId="0" borderId="29" xfId="72" applyNumberFormat="1" applyFont="1" applyFill="1" applyBorder="1" applyAlignment="1" applyProtection="1">
      <alignment horizontal="center"/>
      <protection locked="0"/>
    </xf>
    <xf numFmtId="171" fontId="1" fillId="0" borderId="36" xfId="72" applyNumberFormat="1" applyFont="1" applyFill="1" applyBorder="1" applyAlignment="1" applyProtection="1">
      <alignment/>
      <protection hidden="1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72" applyFont="1" applyFill="1" applyBorder="1" applyAlignment="1" applyProtection="1">
      <alignment horizontal="left"/>
      <protection hidden="1"/>
    </xf>
    <xf numFmtId="171" fontId="1" fillId="0" borderId="43" xfId="72" applyNumberFormat="1" applyFont="1" applyFill="1" applyBorder="1" applyAlignment="1" applyProtection="1">
      <alignment/>
      <protection hidden="1"/>
    </xf>
    <xf numFmtId="10" fontId="2" fillId="0" borderId="43" xfId="72" applyNumberFormat="1" applyFont="1" applyFill="1" applyBorder="1" applyAlignment="1" applyProtection="1">
      <alignment horizontal="center"/>
      <protection locked="0"/>
    </xf>
    <xf numFmtId="171" fontId="1" fillId="0" borderId="44" xfId="72" applyNumberFormat="1" applyFont="1" applyFill="1" applyBorder="1" applyAlignment="1" applyProtection="1">
      <alignment/>
      <protection hidden="1"/>
    </xf>
    <xf numFmtId="171" fontId="1" fillId="34" borderId="10" xfId="72" applyNumberFormat="1" applyFont="1" applyFill="1" applyBorder="1" applyAlignment="1" applyProtection="1">
      <alignment/>
      <protection hidden="1"/>
    </xf>
    <xf numFmtId="0" fontId="1" fillId="34" borderId="10" xfId="72" applyFont="1" applyFill="1" applyBorder="1" applyAlignment="1" applyProtection="1">
      <alignment/>
      <protection hidden="1"/>
    </xf>
    <xf numFmtId="0" fontId="0" fillId="34" borderId="10" xfId="72" applyFont="1" applyFill="1" applyBorder="1" applyAlignment="1" applyProtection="1">
      <alignment/>
      <protection hidden="1"/>
    </xf>
    <xf numFmtId="0" fontId="0" fillId="0" borderId="0" xfId="75">
      <alignment/>
      <protection/>
    </xf>
    <xf numFmtId="15" fontId="0" fillId="0" borderId="0" xfId="75" applyNumberFormat="1">
      <alignment/>
      <protection/>
    </xf>
    <xf numFmtId="0" fontId="55" fillId="16" borderId="29" xfId="0" applyFont="1" applyFill="1" applyBorder="1" applyAlignment="1">
      <alignment horizontal="center" wrapText="1"/>
    </xf>
    <xf numFmtId="0" fontId="56" fillId="0" borderId="0" xfId="82" applyFont="1">
      <alignment/>
      <protection/>
    </xf>
    <xf numFmtId="171" fontId="56" fillId="0" borderId="0" xfId="82" applyNumberFormat="1" applyFont="1">
      <alignment/>
      <protection/>
    </xf>
    <xf numFmtId="171" fontId="0" fillId="5" borderId="17" xfId="99" applyNumberFormat="1" applyFill="1" applyBorder="1" applyAlignment="1">
      <alignment horizontal="center"/>
      <protection/>
    </xf>
    <xf numFmtId="0" fontId="6" fillId="33" borderId="10" xfId="72" applyFont="1" applyFill="1" applyBorder="1" applyAlignment="1" applyProtection="1">
      <alignment wrapText="1"/>
      <protection hidden="1"/>
    </xf>
    <xf numFmtId="0" fontId="0" fillId="0" borderId="0" xfId="98" applyProtection="1">
      <alignment/>
      <protection locked="0"/>
    </xf>
    <xf numFmtId="210" fontId="60" fillId="0" borderId="29" xfId="75" applyNumberFormat="1" applyFont="1" applyFill="1" applyBorder="1" applyAlignment="1" applyProtection="1">
      <alignment horizontal="center"/>
      <protection locked="0"/>
    </xf>
    <xf numFmtId="171" fontId="58" fillId="12" borderId="18" xfId="98" applyNumberFormat="1" applyFont="1" applyFill="1" applyBorder="1" applyAlignment="1" applyProtection="1">
      <alignment horizontal="center"/>
      <protection locked="0"/>
    </xf>
    <xf numFmtId="210" fontId="60" fillId="0" borderId="29" xfId="72" applyNumberFormat="1" applyFont="1" applyFill="1" applyBorder="1" applyAlignment="1">
      <alignment horizontal="center"/>
      <protection/>
    </xf>
    <xf numFmtId="171" fontId="1" fillId="0" borderId="17" xfId="72" applyNumberFormat="1" applyFont="1" applyFill="1" applyBorder="1" applyAlignment="1" applyProtection="1">
      <alignment/>
      <protection hidden="1"/>
    </xf>
    <xf numFmtId="171" fontId="1" fillId="0" borderId="18" xfId="72" applyNumberFormat="1" applyFont="1" applyFill="1" applyBorder="1" applyAlignment="1" applyProtection="1">
      <alignment/>
      <protection hidden="1"/>
    </xf>
    <xf numFmtId="171" fontId="1" fillId="35" borderId="13" xfId="72" applyNumberFormat="1" applyFont="1" applyFill="1" applyBorder="1" applyAlignment="1" applyProtection="1">
      <alignment/>
      <protection hidden="1"/>
    </xf>
    <xf numFmtId="0" fontId="1" fillId="39" borderId="14" xfId="0" applyFont="1" applyFill="1" applyBorder="1" applyAlignment="1" applyProtection="1">
      <alignment horizontal="center" wrapText="1"/>
      <protection hidden="1"/>
    </xf>
    <xf numFmtId="0" fontId="1" fillId="0" borderId="31" xfId="98" applyFont="1" applyBorder="1" applyAlignment="1">
      <alignment horizontal="center" vertical="center" textRotation="90" wrapText="1"/>
      <protection/>
    </xf>
    <xf numFmtId="0" fontId="1" fillId="0" borderId="15" xfId="98" applyFont="1" applyBorder="1" applyAlignment="1">
      <alignment horizontal="center" vertical="center" textRotation="90" wrapText="1"/>
      <protection/>
    </xf>
    <xf numFmtId="0" fontId="1" fillId="0" borderId="45" xfId="98" applyFont="1" applyBorder="1" applyAlignment="1">
      <alignment horizontal="center" vertical="center" textRotation="90" wrapText="1"/>
      <protection/>
    </xf>
    <xf numFmtId="0" fontId="1" fillId="0" borderId="19" xfId="98" applyFont="1" applyBorder="1" applyAlignment="1">
      <alignment horizontal="center" vertical="center"/>
      <protection/>
    </xf>
    <xf numFmtId="0" fontId="1" fillId="0" borderId="10" xfId="98" applyFont="1" applyBorder="1" applyAlignment="1">
      <alignment horizontal="center" vertical="center"/>
      <protection/>
    </xf>
    <xf numFmtId="0" fontId="1" fillId="0" borderId="12" xfId="98" applyFont="1" applyBorder="1" applyAlignment="1">
      <alignment horizontal="center" vertical="center"/>
      <protection/>
    </xf>
    <xf numFmtId="0" fontId="1" fillId="0" borderId="19" xfId="98" applyFont="1" applyBorder="1" applyAlignment="1">
      <alignment vertical="center" wrapText="1"/>
      <protection/>
    </xf>
    <xf numFmtId="0" fontId="1" fillId="0" borderId="12" xfId="98" applyFont="1" applyBorder="1" applyAlignment="1">
      <alignment vertical="center" wrapText="1"/>
      <protection/>
    </xf>
    <xf numFmtId="0" fontId="1" fillId="35" borderId="19" xfId="72" applyFont="1" applyFill="1" applyBorder="1" applyAlignment="1" applyProtection="1">
      <alignment horizontal="left" wrapText="1"/>
      <protection hidden="1"/>
    </xf>
    <xf numFmtId="0" fontId="1" fillId="35" borderId="10" xfId="72" applyFont="1" applyFill="1" applyBorder="1" applyAlignment="1" applyProtection="1">
      <alignment horizontal="left" wrapText="1"/>
      <protection hidden="1"/>
    </xf>
    <xf numFmtId="0" fontId="1" fillId="35" borderId="12" xfId="72" applyFont="1" applyFill="1" applyBorder="1" applyAlignment="1" applyProtection="1">
      <alignment horizontal="left" wrapText="1"/>
      <protection hidden="1"/>
    </xf>
    <xf numFmtId="0" fontId="56" fillId="0" borderId="0" xfId="82" applyFont="1" applyAlignment="1">
      <alignment horizontal="center"/>
      <protection/>
    </xf>
    <xf numFmtId="0" fontId="0" fillId="0" borderId="25" xfId="0" applyFont="1" applyFill="1" applyBorder="1" applyAlignment="1" applyProtection="1">
      <alignment horizontal="left" vertical="center"/>
      <protection hidden="1"/>
    </xf>
    <xf numFmtId="0" fontId="0" fillId="0" borderId="26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4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0" fontId="6" fillId="33" borderId="19" xfId="72" applyFont="1" applyFill="1" applyBorder="1" applyAlignment="1" applyProtection="1">
      <alignment horizontal="left" wrapText="1"/>
      <protection hidden="1"/>
    </xf>
    <xf numFmtId="0" fontId="0" fillId="0" borderId="10" xfId="72" applyBorder="1" applyAlignment="1">
      <alignment wrapText="1"/>
      <protection/>
    </xf>
    <xf numFmtId="0" fontId="6" fillId="33" borderId="10" xfId="72" applyFont="1" applyFill="1" applyBorder="1" applyAlignment="1" applyProtection="1">
      <alignment wrapText="1"/>
      <protection hidden="1"/>
    </xf>
    <xf numFmtId="0" fontId="0" fillId="0" borderId="10" xfId="72" applyBorder="1" applyAlignment="1">
      <alignment horizontal="left" wrapText="1"/>
      <protection/>
    </xf>
    <xf numFmtId="0" fontId="0" fillId="0" borderId="12" xfId="72" applyBorder="1" applyAlignment="1">
      <alignment horizontal="left" wrapText="1"/>
      <protection/>
    </xf>
    <xf numFmtId="0" fontId="1" fillId="34" borderId="19" xfId="0" applyFont="1" applyFill="1" applyBorder="1" applyAlignment="1" applyProtection="1">
      <alignment horizontal="left" wrapText="1"/>
      <protection hidden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9" xfId="72" applyFont="1" applyFill="1" applyBorder="1" applyAlignment="1" applyProtection="1">
      <alignment horizontal="left" wrapText="1" readingOrder="1"/>
      <protection hidden="1"/>
    </xf>
    <xf numFmtId="0" fontId="1" fillId="34" borderId="10" xfId="72" applyFont="1" applyFill="1" applyBorder="1" applyAlignment="1" applyProtection="1">
      <alignment horizontal="left" wrapText="1" readingOrder="1"/>
      <protection hidden="1"/>
    </xf>
    <xf numFmtId="0" fontId="1" fillId="34" borderId="12" xfId="72" applyFont="1" applyFill="1" applyBorder="1" applyAlignment="1" applyProtection="1">
      <alignment horizontal="left" wrapText="1" readingOrder="1"/>
      <protection hidden="1"/>
    </xf>
    <xf numFmtId="172" fontId="1" fillId="35" borderId="19" xfId="72" applyNumberFormat="1" applyFont="1" applyFill="1" applyBorder="1" applyAlignment="1" applyProtection="1">
      <alignment horizontal="left" wrapText="1"/>
      <protection hidden="1"/>
    </xf>
    <xf numFmtId="172" fontId="1" fillId="35" borderId="10" xfId="72" applyNumberFormat="1" applyFont="1" applyFill="1" applyBorder="1" applyAlignment="1" applyProtection="1">
      <alignment horizontal="left" wrapText="1"/>
      <protection hidden="1"/>
    </xf>
    <xf numFmtId="172" fontId="1" fillId="35" borderId="12" xfId="72" applyNumberFormat="1" applyFont="1" applyFill="1" applyBorder="1" applyAlignment="1" applyProtection="1">
      <alignment horizontal="left" wrapText="1"/>
      <protection hidden="1"/>
    </xf>
    <xf numFmtId="0" fontId="1" fillId="34" borderId="19" xfId="72" applyFont="1" applyFill="1" applyBorder="1" applyAlignment="1" applyProtection="1">
      <alignment horizontal="left" wrapText="1"/>
      <protection hidden="1"/>
    </xf>
    <xf numFmtId="0" fontId="1" fillId="34" borderId="10" xfId="72" applyFont="1" applyFill="1" applyBorder="1" applyAlignment="1" applyProtection="1">
      <alignment horizontal="left" wrapText="1"/>
      <protection hidden="1"/>
    </xf>
    <xf numFmtId="0" fontId="1" fillId="34" borderId="12" xfId="72" applyFont="1" applyFill="1" applyBorder="1" applyAlignment="1" applyProtection="1">
      <alignment horizontal="left" wrapText="1"/>
      <protection hidden="1"/>
    </xf>
    <xf numFmtId="0" fontId="1" fillId="34" borderId="10" xfId="0" applyFont="1" applyFill="1" applyBorder="1" applyAlignment="1" applyProtection="1">
      <alignment horizontal="left" wrapText="1"/>
      <protection hidden="1"/>
    </xf>
    <xf numFmtId="210" fontId="60" fillId="0" borderId="29" xfId="72" applyNumberFormat="1" applyFont="1" applyFill="1" applyBorder="1" applyAlignment="1" applyProtection="1">
      <alignment horizontal="center"/>
      <protection locked="0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6" xfId="52"/>
    <cellStyle name="Comma 6 2" xfId="53"/>
    <cellStyle name="Comma 6 3" xfId="54"/>
    <cellStyle name="Currency" xfId="55"/>
    <cellStyle name="Currency [0]" xfId="56"/>
    <cellStyle name="Currency 2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2 2" xfId="67"/>
    <cellStyle name="Hyperlink 3" xfId="68"/>
    <cellStyle name="Input" xfId="69"/>
    <cellStyle name="Linked Cell" xfId="70"/>
    <cellStyle name="Neutral" xfId="71"/>
    <cellStyle name="Normal 2" xfId="72"/>
    <cellStyle name="Normal 2 2" xfId="73"/>
    <cellStyle name="Normal 2 2 2" xfId="74"/>
    <cellStyle name="Normal 2 2 3" xfId="75"/>
    <cellStyle name="Normal 2 2 4" xfId="76"/>
    <cellStyle name="Normal 2 3" xfId="77"/>
    <cellStyle name="Normal 2 4" xfId="78"/>
    <cellStyle name="Normal 2 5" xfId="79"/>
    <cellStyle name="Normal 3" xfId="80"/>
    <cellStyle name="Normal 3 2" xfId="81"/>
    <cellStyle name="Normal 3 2 2" xfId="82"/>
    <cellStyle name="Normal 3 2 3" xfId="83"/>
    <cellStyle name="Normal 3 2 4" xfId="84"/>
    <cellStyle name="Normal 3 2 4 2" xfId="85"/>
    <cellStyle name="Normal 3 2 5" xfId="86"/>
    <cellStyle name="Normal 3 3" xfId="87"/>
    <cellStyle name="Normal 3 4" xfId="88"/>
    <cellStyle name="Normal 3 5" xfId="89"/>
    <cellStyle name="Normal 4" xfId="90"/>
    <cellStyle name="Normal 4 2" xfId="91"/>
    <cellStyle name="Normal 4 2 2" xfId="92"/>
    <cellStyle name="Normal 4 2 3" xfId="93"/>
    <cellStyle name="Normal 4 3" xfId="94"/>
    <cellStyle name="Normal 5" xfId="95"/>
    <cellStyle name="Normal 5 2" xfId="96"/>
    <cellStyle name="Normal 5 3" xfId="97"/>
    <cellStyle name="Normal 6" xfId="98"/>
    <cellStyle name="Normal 6 3" xfId="99"/>
    <cellStyle name="Note" xfId="100"/>
    <cellStyle name="Output" xfId="101"/>
    <cellStyle name="Percent" xfId="102"/>
    <cellStyle name="Percent 2" xfId="103"/>
    <cellStyle name="Percent 2 2" xfId="104"/>
    <cellStyle name="Percent 2 3" xfId="105"/>
    <cellStyle name="Percent 2 3 2" xfId="106"/>
    <cellStyle name="Percent 2 3 3" xfId="107"/>
    <cellStyle name="Percent 2 3 4" xfId="108"/>
    <cellStyle name="Percent 2 4" xfId="109"/>
    <cellStyle name="Percent 2 5" xfId="110"/>
    <cellStyle name="Percent 3" xfId="111"/>
    <cellStyle name="Percent 3 2" xfId="112"/>
    <cellStyle name="Percent 4" xfId="113"/>
    <cellStyle name="Percent 4 2" xfId="114"/>
    <cellStyle name="Percent 5" xfId="115"/>
    <cellStyle name="Percent 5 2" xfId="116"/>
    <cellStyle name="Percent 5 2 2" xfId="117"/>
    <cellStyle name="Percent 5 2 3" xfId="118"/>
    <cellStyle name="Percent 5 3" xfId="119"/>
    <cellStyle name="Percent 5 3 2" xfId="120"/>
    <cellStyle name="Percent 6" xfId="121"/>
    <cellStyle name="Percent 6 2" xfId="122"/>
    <cellStyle name="Percent 6 3" xfId="123"/>
    <cellStyle name="Percent 7" xfId="124"/>
    <cellStyle name="Percent 7 2" xfId="125"/>
    <cellStyle name="Percent 7 3" xfId="126"/>
    <cellStyle name="Percent 7 4" xfId="127"/>
    <cellStyle name="Percent 8" xfId="128"/>
    <cellStyle name="Percent 9" xfId="129"/>
    <cellStyle name="Title" xfId="130"/>
    <cellStyle name="Total" xfId="131"/>
    <cellStyle name="Warning Text" xfId="132"/>
  </cellStyles>
  <dxfs count="4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57150</xdr:rowOff>
    </xdr:from>
    <xdr:to>
      <xdr:col>8</xdr:col>
      <xdr:colOff>647700</xdr:colOff>
      <xdr:row>2</xdr:row>
      <xdr:rowOff>85725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71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9438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69</xdr:row>
      <xdr:rowOff>133350</xdr:rowOff>
    </xdr:from>
    <xdr:to>
      <xdr:col>9</xdr:col>
      <xdr:colOff>914400</xdr:colOff>
      <xdr:row>75</xdr:row>
      <xdr:rowOff>66675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301115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8</xdr:col>
      <xdr:colOff>723900</xdr:colOff>
      <xdr:row>2</xdr:row>
      <xdr:rowOff>76200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5715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19050</xdr:rowOff>
    </xdr:from>
    <xdr:to>
      <xdr:col>0</xdr:col>
      <xdr:colOff>990600</xdr:colOff>
      <xdr:row>43</xdr:row>
      <xdr:rowOff>161925</xdr:rowOff>
    </xdr:to>
    <xdr:pic>
      <xdr:nvPicPr>
        <xdr:cNvPr id="3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19150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70</xdr:row>
      <xdr:rowOff>152400</xdr:rowOff>
    </xdr:from>
    <xdr:to>
      <xdr:col>9</xdr:col>
      <xdr:colOff>866775</xdr:colOff>
      <xdr:row>78</xdr:row>
      <xdr:rowOff>0</xdr:rowOff>
    </xdr:to>
    <xdr:pic>
      <xdr:nvPicPr>
        <xdr:cNvPr id="1" name="Picture 5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13163550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161925</xdr:rowOff>
    </xdr:from>
    <xdr:to>
      <xdr:col>8</xdr:col>
      <xdr:colOff>657225</xdr:colOff>
      <xdr:row>2</xdr:row>
      <xdr:rowOff>142875</xdr:rowOff>
    </xdr:to>
    <xdr:pic>
      <xdr:nvPicPr>
        <xdr:cNvPr id="2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61925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3" name="Picture 6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00100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4" name="Picture 7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00100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152400</xdr:rowOff>
    </xdr:from>
    <xdr:to>
      <xdr:col>8</xdr:col>
      <xdr:colOff>647700</xdr:colOff>
      <xdr:row>2</xdr:row>
      <xdr:rowOff>219075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5240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0676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3" name="Picture 4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06767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28575</xdr:rowOff>
    </xdr:from>
    <xdr:to>
      <xdr:col>8</xdr:col>
      <xdr:colOff>657225</xdr:colOff>
      <xdr:row>2</xdr:row>
      <xdr:rowOff>0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28575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2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0962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3" name="Picture 4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0962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94</xdr:row>
      <xdr:rowOff>28575</xdr:rowOff>
    </xdr:from>
    <xdr:to>
      <xdr:col>9</xdr:col>
      <xdr:colOff>609600</xdr:colOff>
      <xdr:row>100</xdr:row>
      <xdr:rowOff>76200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7059275"/>
          <a:ext cx="571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0</xdr:row>
      <xdr:rowOff>66675</xdr:rowOff>
    </xdr:from>
    <xdr:to>
      <xdr:col>8</xdr:col>
      <xdr:colOff>800100</xdr:colOff>
      <xdr:row>1</xdr:row>
      <xdr:rowOff>57150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66675"/>
          <a:ext cx="542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3" name="Picture 3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1343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39</xdr:row>
      <xdr:rowOff>19050</xdr:rowOff>
    </xdr:from>
    <xdr:to>
      <xdr:col>0</xdr:col>
      <xdr:colOff>990600</xdr:colOff>
      <xdr:row>42</xdr:row>
      <xdr:rowOff>161925</xdr:rowOff>
    </xdr:to>
    <xdr:pic>
      <xdr:nvPicPr>
        <xdr:cNvPr id="4" name="Picture 4" descr="http://www.maizetrust.co.za/images/masthea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134350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92</xdr:row>
      <xdr:rowOff>95250</xdr:rowOff>
    </xdr:from>
    <xdr:to>
      <xdr:col>7</xdr:col>
      <xdr:colOff>723900</xdr:colOff>
      <xdr:row>96</xdr:row>
      <xdr:rowOff>9525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628775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38100</xdr:rowOff>
    </xdr:from>
    <xdr:to>
      <xdr:col>8</xdr:col>
      <xdr:colOff>647700</xdr:colOff>
      <xdr:row>1</xdr:row>
      <xdr:rowOff>190500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38100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123825</xdr:rowOff>
    </xdr:from>
    <xdr:to>
      <xdr:col>8</xdr:col>
      <xdr:colOff>704850</xdr:colOff>
      <xdr:row>2</xdr:row>
      <xdr:rowOff>57150</xdr:rowOff>
    </xdr:to>
    <xdr:pic>
      <xdr:nvPicPr>
        <xdr:cNvPr id="1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23825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79</xdr:row>
      <xdr:rowOff>152400</xdr:rowOff>
    </xdr:from>
    <xdr:to>
      <xdr:col>9</xdr:col>
      <xdr:colOff>885825</xdr:colOff>
      <xdr:row>86</xdr:row>
      <xdr:rowOff>85725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4411325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66675</xdr:rowOff>
    </xdr:from>
    <xdr:to>
      <xdr:col>8</xdr:col>
      <xdr:colOff>676275</xdr:colOff>
      <xdr:row>2</xdr:row>
      <xdr:rowOff>9525</xdr:rowOff>
    </xdr:to>
    <xdr:pic>
      <xdr:nvPicPr>
        <xdr:cNvPr id="2" name="Picture 4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66675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0</xdr:row>
      <xdr:rowOff>76200</xdr:rowOff>
    </xdr:from>
    <xdr:to>
      <xdr:col>8</xdr:col>
      <xdr:colOff>657225</xdr:colOff>
      <xdr:row>1</xdr:row>
      <xdr:rowOff>180975</xdr:rowOff>
    </xdr:to>
    <xdr:pic>
      <xdr:nvPicPr>
        <xdr:cNvPr id="1" name="Picture 3" descr="Graan SA - nu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762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tru\AppData\Local\Microsoft\Windows\Temporary%20Internet%20Files\Content.Outlook\OCSLA1IY\GSA-16-17%20Noordwes%20begroting%20North%20West%20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yse + Sensatiwiteitsanalise"/>
      <sheetName val="W-Mielie "/>
      <sheetName val="W-BT Mielies"/>
      <sheetName val="W-Roundup R mielies "/>
      <sheetName val="Stapelgeen Mielie"/>
      <sheetName val="Sonneblom"/>
      <sheetName val="Sojabone"/>
      <sheetName val="Graansorghum"/>
      <sheetName val="Grondbone"/>
      <sheetName val="Bes-mielies"/>
    </sheetNames>
    <sheetDataSet>
      <sheetData sheetId="2">
        <row r="9">
          <cell r="K9">
            <v>2.5</v>
          </cell>
        </row>
        <row r="10">
          <cell r="K10">
            <v>3</v>
          </cell>
        </row>
        <row r="11">
          <cell r="K11">
            <v>3.5</v>
          </cell>
        </row>
        <row r="12">
          <cell r="K12">
            <v>4</v>
          </cell>
        </row>
        <row r="13">
          <cell r="K13">
            <v>4.5</v>
          </cell>
        </row>
        <row r="14">
          <cell r="K1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52.421875" style="91" customWidth="1"/>
    <col min="2" max="2" width="19.140625" style="91" bestFit="1" customWidth="1"/>
    <col min="3" max="3" width="3.28125" style="91" customWidth="1"/>
    <col min="4" max="4" width="23.7109375" style="91" customWidth="1"/>
    <col min="5" max="12" width="10.7109375" style="91" customWidth="1"/>
    <col min="13" max="15" width="9.140625" style="91" customWidth="1"/>
    <col min="16" max="16" width="22.7109375" style="91" customWidth="1"/>
    <col min="17" max="17" width="11.7109375" style="91" customWidth="1"/>
    <col min="18" max="26" width="9.421875" style="91" customWidth="1"/>
    <col min="27" max="16384" width="9.140625" style="91" customWidth="1"/>
  </cols>
  <sheetData>
    <row r="1" spans="1:14" s="92" customFormat="1" ht="28.5" customHeight="1">
      <c r="A1" s="90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92" customFormat="1" ht="13.5" customHeight="1">
      <c r="A2" s="184" t="s">
        <v>82</v>
      </c>
      <c r="B2" s="185">
        <v>42931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2" s="92" customFormat="1" ht="27.75" customHeight="1">
      <c r="A3" s="158" t="s">
        <v>46</v>
      </c>
      <c r="B3" s="186" t="s">
        <v>47</v>
      </c>
      <c r="C3" s="91"/>
      <c r="D3" s="93" t="s">
        <v>48</v>
      </c>
      <c r="E3" s="91"/>
      <c r="F3" s="91"/>
      <c r="G3" s="91"/>
      <c r="H3" s="91"/>
      <c r="I3" s="91"/>
      <c r="J3" s="91"/>
      <c r="K3" s="91"/>
      <c r="L3" s="91"/>
    </row>
    <row r="4" spans="1:12" s="92" customFormat="1" ht="13.5" customHeight="1">
      <c r="A4" s="159" t="s">
        <v>105</v>
      </c>
      <c r="B4" s="194">
        <v>2000</v>
      </c>
      <c r="C4" s="191"/>
      <c r="D4" s="192">
        <v>271</v>
      </c>
      <c r="E4" s="91"/>
      <c r="F4" s="91"/>
      <c r="G4" s="91"/>
      <c r="H4" s="91"/>
      <c r="I4" s="91"/>
      <c r="J4" s="91"/>
      <c r="K4" s="91"/>
      <c r="L4" s="91"/>
    </row>
    <row r="5" spans="1:14" s="92" customFormat="1" ht="13.5" customHeight="1">
      <c r="A5" s="159" t="s">
        <v>106</v>
      </c>
      <c r="B5" s="194">
        <v>4900</v>
      </c>
      <c r="C5" s="191"/>
      <c r="D5" s="192">
        <v>312</v>
      </c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92" customFormat="1" ht="13.5" customHeight="1">
      <c r="A6" s="159" t="s">
        <v>107</v>
      </c>
      <c r="B6" s="194">
        <v>4820</v>
      </c>
      <c r="C6" s="191"/>
      <c r="D6" s="192">
        <v>63</v>
      </c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s="92" customFormat="1" ht="13.5" customHeight="1">
      <c r="A7" s="159" t="s">
        <v>91</v>
      </c>
      <c r="B7" s="194">
        <v>2500</v>
      </c>
      <c r="C7" s="191"/>
      <c r="D7" s="192">
        <v>63</v>
      </c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s="92" customFormat="1" ht="13.5" customHeight="1">
      <c r="A8" s="159" t="s">
        <v>92</v>
      </c>
      <c r="B8" s="238">
        <v>9250</v>
      </c>
      <c r="C8" s="191"/>
      <c r="D8" s="1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s="92" customFormat="1" ht="13.5" customHeight="1">
      <c r="A9" s="159" t="s">
        <v>49</v>
      </c>
      <c r="B9" s="238">
        <v>5500</v>
      </c>
      <c r="C9" s="191"/>
      <c r="D9" s="1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s="92" customFormat="1" ht="13.5" customHeight="1">
      <c r="A10" s="159" t="s">
        <v>93</v>
      </c>
      <c r="B10" s="238">
        <v>2500</v>
      </c>
      <c r="C10" s="191"/>
      <c r="D10" s="1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s="92" customFormat="1" ht="13.5" customHeight="1">
      <c r="A11" s="159" t="s">
        <v>94</v>
      </c>
      <c r="B11" s="238">
        <v>1000</v>
      </c>
      <c r="C11" s="191"/>
      <c r="D11" s="1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s="92" customFormat="1" ht="13.5" customHeight="1">
      <c r="A12" s="159" t="s">
        <v>120</v>
      </c>
      <c r="B12" s="194">
        <v>800</v>
      </c>
      <c r="C12" s="191"/>
      <c r="D12" s="1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s="95" customFormat="1" ht="13.5" customHeight="1">
      <c r="A13" s="160"/>
      <c r="B13" s="161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4" s="92" customFormat="1" ht="13.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s="92" customFormat="1" ht="30.75" customHeight="1" thickBot="1">
      <c r="A15" s="198" t="s">
        <v>86</v>
      </c>
      <c r="B15" s="198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26" ht="20.25" customHeight="1" thickBot="1">
      <c r="A16" s="96" t="s">
        <v>108</v>
      </c>
      <c r="B16" s="162"/>
      <c r="C16" s="97"/>
      <c r="D16" s="202" t="s">
        <v>50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4"/>
      <c r="P16" s="202" t="s">
        <v>51</v>
      </c>
      <c r="Q16" s="203"/>
      <c r="R16" s="203"/>
      <c r="S16" s="203"/>
      <c r="T16" s="203"/>
      <c r="U16" s="203"/>
      <c r="V16" s="203"/>
      <c r="W16" s="203"/>
      <c r="X16" s="203"/>
      <c r="Y16" s="203"/>
      <c r="Z16" s="204"/>
    </row>
    <row r="17" spans="1:26" ht="13.5" customHeight="1" thickBot="1">
      <c r="A17" s="98" t="s">
        <v>52</v>
      </c>
      <c r="B17" s="189">
        <f>INDEX('W-RR mielies Laer opbrengs '!M9:O14,MATCH($B$21,RRLopbrengspeil,0),2)</f>
        <v>6933.585793459765</v>
      </c>
      <c r="C17" s="99"/>
      <c r="D17" s="100"/>
      <c r="E17" s="101"/>
      <c r="F17" s="102"/>
      <c r="G17" s="103"/>
      <c r="H17" s="102"/>
      <c r="I17" s="102"/>
      <c r="J17" s="102" t="s">
        <v>53</v>
      </c>
      <c r="K17" s="104"/>
      <c r="L17" s="102"/>
      <c r="M17" s="104"/>
      <c r="N17" s="102"/>
      <c r="P17" s="100"/>
      <c r="Q17" s="101"/>
      <c r="R17" s="102"/>
      <c r="S17" s="103"/>
      <c r="T17" s="102"/>
      <c r="U17" s="102"/>
      <c r="V17" s="102" t="s">
        <v>53</v>
      </c>
      <c r="W17" s="104"/>
      <c r="X17" s="102"/>
      <c r="Y17" s="104"/>
      <c r="Z17" s="102"/>
    </row>
    <row r="18" spans="1:26" ht="13.5" customHeight="1" thickBot="1">
      <c r="A18" s="105" t="s">
        <v>54</v>
      </c>
      <c r="B18" s="189">
        <f>INDEX('W-RR mielies Laer opbrengs '!M9:O14,MATCH($B$21,RRLopbrengspeil,0),3)</f>
        <v>2424.371875124792</v>
      </c>
      <c r="C18" s="99"/>
      <c r="D18" s="202" t="s">
        <v>55</v>
      </c>
      <c r="E18" s="204"/>
      <c r="F18" s="106">
        <f>G18-250</f>
        <v>1000</v>
      </c>
      <c r="G18" s="106">
        <f>H18-250</f>
        <v>1250</v>
      </c>
      <c r="H18" s="106">
        <f>I18-250</f>
        <v>1500</v>
      </c>
      <c r="I18" s="106">
        <f>J18-250</f>
        <v>1750</v>
      </c>
      <c r="J18" s="107">
        <f>B23</f>
        <v>2000</v>
      </c>
      <c r="K18" s="106">
        <f>J18+250</f>
        <v>2250</v>
      </c>
      <c r="L18" s="106">
        <f>K18+250</f>
        <v>2500</v>
      </c>
      <c r="M18" s="106">
        <f>L18+250</f>
        <v>2750</v>
      </c>
      <c r="N18" s="106">
        <f>M18+250</f>
        <v>3000</v>
      </c>
      <c r="P18" s="202" t="s">
        <v>55</v>
      </c>
      <c r="Q18" s="204"/>
      <c r="R18" s="108">
        <f>S18-250</f>
        <v>1000</v>
      </c>
      <c r="S18" s="108">
        <f>T18-250</f>
        <v>1250</v>
      </c>
      <c r="T18" s="108">
        <f>U18-250</f>
        <v>1500</v>
      </c>
      <c r="U18" s="108">
        <f>V18-250</f>
        <v>1750</v>
      </c>
      <c r="V18" s="109">
        <f>J18</f>
        <v>2000</v>
      </c>
      <c r="W18" s="108">
        <f>V18+250</f>
        <v>2250</v>
      </c>
      <c r="X18" s="108">
        <f>W18+250</f>
        <v>2500</v>
      </c>
      <c r="Y18" s="108">
        <f>X18+250</f>
        <v>2750</v>
      </c>
      <c r="Z18" s="108">
        <f>Y18+250</f>
        <v>3000</v>
      </c>
    </row>
    <row r="19" spans="1:26" ht="13.5" customHeight="1" thickBot="1">
      <c r="A19" s="110" t="s">
        <v>56</v>
      </c>
      <c r="B19" s="111">
        <f>B18+B17</f>
        <v>9357.957668584557</v>
      </c>
      <c r="C19" s="112"/>
      <c r="D19" s="205" t="s">
        <v>57</v>
      </c>
      <c r="E19" s="206"/>
      <c r="F19" s="113">
        <f aca="true" t="shared" si="0" ref="F19:N19">F18-$B$24</f>
        <v>729</v>
      </c>
      <c r="G19" s="113">
        <f t="shared" si="0"/>
        <v>979</v>
      </c>
      <c r="H19" s="113">
        <f t="shared" si="0"/>
        <v>1229</v>
      </c>
      <c r="I19" s="113">
        <f t="shared" si="0"/>
        <v>1479</v>
      </c>
      <c r="J19" s="114">
        <f t="shared" si="0"/>
        <v>1729</v>
      </c>
      <c r="K19" s="113">
        <f t="shared" si="0"/>
        <v>1979</v>
      </c>
      <c r="L19" s="113">
        <f t="shared" si="0"/>
        <v>2229</v>
      </c>
      <c r="M19" s="113">
        <f t="shared" si="0"/>
        <v>2479</v>
      </c>
      <c r="N19" s="113">
        <f t="shared" si="0"/>
        <v>2729</v>
      </c>
      <c r="P19" s="205" t="s">
        <v>57</v>
      </c>
      <c r="Q19" s="206"/>
      <c r="R19" s="113">
        <f aca="true" t="shared" si="1" ref="R19:Z19">R18-$B$24</f>
        <v>729</v>
      </c>
      <c r="S19" s="113">
        <f t="shared" si="1"/>
        <v>979</v>
      </c>
      <c r="T19" s="113">
        <f t="shared" si="1"/>
        <v>1229</v>
      </c>
      <c r="U19" s="113">
        <f t="shared" si="1"/>
        <v>1479</v>
      </c>
      <c r="V19" s="115">
        <f t="shared" si="1"/>
        <v>1729</v>
      </c>
      <c r="W19" s="113">
        <f t="shared" si="1"/>
        <v>1979</v>
      </c>
      <c r="X19" s="113">
        <f t="shared" si="1"/>
        <v>2229</v>
      </c>
      <c r="Y19" s="113">
        <f t="shared" si="1"/>
        <v>2479</v>
      </c>
      <c r="Z19" s="113">
        <f t="shared" si="1"/>
        <v>2729</v>
      </c>
    </row>
    <row r="20" spans="1:26" ht="13.5" customHeight="1" thickBot="1">
      <c r="A20" s="116"/>
      <c r="B20" s="117"/>
      <c r="C20" s="99"/>
      <c r="D20" s="199" t="s">
        <v>58</v>
      </c>
      <c r="E20" s="118">
        <f>E21-0.5</f>
        <v>2.5</v>
      </c>
      <c r="F20" s="119">
        <f>F$19-($B$19/$E20)</f>
        <v>-3014.1830674338225</v>
      </c>
      <c r="G20" s="120">
        <f aca="true" t="shared" si="2" ref="F20:N24">G$19-($B$19/$E20)</f>
        <v>-2764.1830674338225</v>
      </c>
      <c r="H20" s="120">
        <f t="shared" si="2"/>
        <v>-2514.1830674338225</v>
      </c>
      <c r="I20" s="120">
        <f t="shared" si="2"/>
        <v>-2264.1830674338225</v>
      </c>
      <c r="J20" s="120">
        <f t="shared" si="2"/>
        <v>-2014.1830674338225</v>
      </c>
      <c r="K20" s="120">
        <f t="shared" si="2"/>
        <v>-1764.1830674338225</v>
      </c>
      <c r="L20" s="120">
        <f t="shared" si="2"/>
        <v>-1514.1830674338225</v>
      </c>
      <c r="M20" s="121">
        <f t="shared" si="2"/>
        <v>-1264.1830674338225</v>
      </c>
      <c r="N20" s="122">
        <f t="shared" si="2"/>
        <v>-1014.1830674338225</v>
      </c>
      <c r="P20" s="199" t="s">
        <v>58</v>
      </c>
      <c r="Q20" s="118">
        <f>Q21-0.5</f>
        <v>2.5</v>
      </c>
      <c r="R20" s="119">
        <f>R$19-($B$17/$E20)</f>
        <v>-2044.434317383906</v>
      </c>
      <c r="S20" s="119">
        <f aca="true" t="shared" si="3" ref="S20:Z24">S$19-($B$17/$E20)</f>
        <v>-1794.434317383906</v>
      </c>
      <c r="T20" s="119">
        <f t="shared" si="3"/>
        <v>-1544.434317383906</v>
      </c>
      <c r="U20" s="119">
        <f t="shared" si="3"/>
        <v>-1294.434317383906</v>
      </c>
      <c r="V20" s="119">
        <f t="shared" si="3"/>
        <v>-1044.434317383906</v>
      </c>
      <c r="W20" s="119">
        <f t="shared" si="3"/>
        <v>-794.4343173839061</v>
      </c>
      <c r="X20" s="119">
        <f t="shared" si="3"/>
        <v>-544.4343173839061</v>
      </c>
      <c r="Y20" s="119">
        <f t="shared" si="3"/>
        <v>-294.4343173839061</v>
      </c>
      <c r="Z20" s="119">
        <f t="shared" si="3"/>
        <v>-44.43431738390609</v>
      </c>
    </row>
    <row r="21" spans="1:26" ht="13.5" customHeight="1" thickBot="1">
      <c r="A21" s="123" t="s">
        <v>59</v>
      </c>
      <c r="B21" s="193">
        <v>3.5</v>
      </c>
      <c r="C21" s="99"/>
      <c r="D21" s="200"/>
      <c r="E21" s="118">
        <f>E22-0.5</f>
        <v>3</v>
      </c>
      <c r="F21" s="124">
        <f t="shared" si="2"/>
        <v>-2390.319222861519</v>
      </c>
      <c r="G21" s="125">
        <f t="shared" si="2"/>
        <v>-2140.319222861519</v>
      </c>
      <c r="H21" s="125">
        <f t="shared" si="2"/>
        <v>-1890.319222861519</v>
      </c>
      <c r="I21" s="125">
        <f t="shared" si="2"/>
        <v>-1640.319222861519</v>
      </c>
      <c r="J21" s="125">
        <f t="shared" si="2"/>
        <v>-1390.319222861519</v>
      </c>
      <c r="K21" s="126">
        <f t="shared" si="2"/>
        <v>-1140.319222861519</v>
      </c>
      <c r="L21" s="126">
        <f t="shared" si="2"/>
        <v>-890.3192228615189</v>
      </c>
      <c r="M21" s="126">
        <f t="shared" si="2"/>
        <v>-640.3192228615189</v>
      </c>
      <c r="N21" s="127">
        <f t="shared" si="2"/>
        <v>-390.31922286151894</v>
      </c>
      <c r="P21" s="200"/>
      <c r="Q21" s="118">
        <f>Q22-0.5</f>
        <v>3</v>
      </c>
      <c r="R21" s="119">
        <f>R$19-($B$17/$E21)</f>
        <v>-1582.1952644865883</v>
      </c>
      <c r="S21" s="119">
        <f t="shared" si="3"/>
        <v>-1332.1952644865883</v>
      </c>
      <c r="T21" s="119">
        <f t="shared" si="3"/>
        <v>-1082.1952644865883</v>
      </c>
      <c r="U21" s="119">
        <f t="shared" si="3"/>
        <v>-832.1952644865883</v>
      </c>
      <c r="V21" s="119">
        <f t="shared" si="3"/>
        <v>-582.1952644865883</v>
      </c>
      <c r="W21" s="119">
        <f t="shared" si="3"/>
        <v>-332.19526448658826</v>
      </c>
      <c r="X21" s="119">
        <f t="shared" si="3"/>
        <v>-82.19526448658826</v>
      </c>
      <c r="Y21" s="119">
        <f t="shared" si="3"/>
        <v>167.80473551341174</v>
      </c>
      <c r="Z21" s="119">
        <f t="shared" si="3"/>
        <v>417.80473551341174</v>
      </c>
    </row>
    <row r="22" spans="1:26" ht="13.5" customHeight="1" thickBot="1">
      <c r="A22" s="116"/>
      <c r="B22" s="117"/>
      <c r="C22" s="99"/>
      <c r="D22" s="200"/>
      <c r="E22" s="128">
        <f>B21</f>
        <v>3.5</v>
      </c>
      <c r="F22" s="124">
        <f t="shared" si="2"/>
        <v>-1944.7021910241592</v>
      </c>
      <c r="G22" s="125">
        <f t="shared" si="2"/>
        <v>-1694.7021910241592</v>
      </c>
      <c r="H22" s="125">
        <f>H$19-($B$19/$E22)</f>
        <v>-1444.7021910241592</v>
      </c>
      <c r="I22" s="125">
        <f>I$19-($B$19/$E22)</f>
        <v>-1194.7021910241592</v>
      </c>
      <c r="J22" s="126">
        <f t="shared" si="2"/>
        <v>-944.7021910241592</v>
      </c>
      <c r="K22" s="126">
        <f t="shared" si="2"/>
        <v>-694.7021910241592</v>
      </c>
      <c r="L22" s="126">
        <f t="shared" si="2"/>
        <v>-444.7021910241592</v>
      </c>
      <c r="M22" s="126">
        <f>M$19-($B$19/$E22)</f>
        <v>-194.70219102415922</v>
      </c>
      <c r="N22" s="127">
        <f t="shared" si="2"/>
        <v>55.29780897584078</v>
      </c>
      <c r="P22" s="200"/>
      <c r="Q22" s="128">
        <f>E22</f>
        <v>3.5</v>
      </c>
      <c r="R22" s="119">
        <f>R$19-($B$17/$E22)</f>
        <v>-1252.0245124170758</v>
      </c>
      <c r="S22" s="119">
        <f>S$19-($B$17/$E22)</f>
        <v>-1002.0245124170758</v>
      </c>
      <c r="T22" s="119">
        <f t="shared" si="3"/>
        <v>-752.0245124170758</v>
      </c>
      <c r="U22" s="119">
        <f t="shared" si="3"/>
        <v>-502.0245124170758</v>
      </c>
      <c r="V22" s="119">
        <f t="shared" si="3"/>
        <v>-252.0245124170758</v>
      </c>
      <c r="W22" s="119">
        <f t="shared" si="3"/>
        <v>-2.0245124170758118</v>
      </c>
      <c r="X22" s="119">
        <f t="shared" si="3"/>
        <v>247.9754875829242</v>
      </c>
      <c r="Y22" s="119">
        <f t="shared" si="3"/>
        <v>497.9754875829242</v>
      </c>
      <c r="Z22" s="119">
        <f t="shared" si="3"/>
        <v>747.9754875829242</v>
      </c>
    </row>
    <row r="23" spans="1:26" ht="13.5" customHeight="1" thickBot="1">
      <c r="A23" s="129" t="s">
        <v>60</v>
      </c>
      <c r="B23" s="130">
        <f>$B$4</f>
        <v>2000</v>
      </c>
      <c r="C23" s="99"/>
      <c r="D23" s="200"/>
      <c r="E23" s="118">
        <f>E22+0.5</f>
        <v>4</v>
      </c>
      <c r="F23" s="124">
        <f t="shared" si="2"/>
        <v>-1610.4894171461392</v>
      </c>
      <c r="G23" s="125">
        <f t="shared" si="2"/>
        <v>-1360.4894171461392</v>
      </c>
      <c r="H23" s="125">
        <f t="shared" si="2"/>
        <v>-1110.4894171461392</v>
      </c>
      <c r="I23" s="126">
        <f t="shared" si="2"/>
        <v>-860.4894171461392</v>
      </c>
      <c r="J23" s="126">
        <f t="shared" si="2"/>
        <v>-610.4894171461392</v>
      </c>
      <c r="K23" s="126">
        <f t="shared" si="2"/>
        <v>-360.4894171461392</v>
      </c>
      <c r="L23" s="126">
        <f t="shared" si="2"/>
        <v>-110.4894171461392</v>
      </c>
      <c r="M23" s="126">
        <f t="shared" si="2"/>
        <v>139.5105828538608</v>
      </c>
      <c r="N23" s="127">
        <f t="shared" si="2"/>
        <v>389.5105828538608</v>
      </c>
      <c r="P23" s="200"/>
      <c r="Q23" s="118">
        <f>Q22+0.5</f>
        <v>4</v>
      </c>
      <c r="R23" s="119">
        <f>R$19-($B$17/$E23)</f>
        <v>-1004.3964483649413</v>
      </c>
      <c r="S23" s="119">
        <f t="shared" si="3"/>
        <v>-754.3964483649413</v>
      </c>
      <c r="T23" s="119">
        <f t="shared" si="3"/>
        <v>-504.3964483649413</v>
      </c>
      <c r="U23" s="119">
        <f t="shared" si="3"/>
        <v>-254.3964483649413</v>
      </c>
      <c r="V23" s="119">
        <f t="shared" si="3"/>
        <v>-4.396448364941307</v>
      </c>
      <c r="W23" s="119">
        <f t="shared" si="3"/>
        <v>245.6035516350587</v>
      </c>
      <c r="X23" s="119">
        <f t="shared" si="3"/>
        <v>495.6035516350587</v>
      </c>
      <c r="Y23" s="119">
        <f t="shared" si="3"/>
        <v>745.6035516350587</v>
      </c>
      <c r="Z23" s="119">
        <f t="shared" si="3"/>
        <v>995.6035516350587</v>
      </c>
    </row>
    <row r="24" spans="1:26" ht="13.5" customHeight="1" thickBot="1">
      <c r="A24" s="131" t="s">
        <v>61</v>
      </c>
      <c r="B24" s="130">
        <f>D4</f>
        <v>271</v>
      </c>
      <c r="C24" s="99"/>
      <c r="D24" s="201"/>
      <c r="E24" s="118">
        <f>E23+0.5</f>
        <v>4.5</v>
      </c>
      <c r="F24" s="132">
        <f t="shared" si="2"/>
        <v>-1350.5461485743458</v>
      </c>
      <c r="G24" s="133">
        <f t="shared" si="2"/>
        <v>-1100.5461485743458</v>
      </c>
      <c r="H24" s="134">
        <f t="shared" si="2"/>
        <v>-850.5461485743458</v>
      </c>
      <c r="I24" s="134">
        <f t="shared" si="2"/>
        <v>-600.5461485743458</v>
      </c>
      <c r="J24" s="134">
        <f t="shared" si="2"/>
        <v>-350.5461485743458</v>
      </c>
      <c r="K24" s="134">
        <f t="shared" si="2"/>
        <v>-100.5461485743458</v>
      </c>
      <c r="L24" s="134">
        <f t="shared" si="2"/>
        <v>149.4538514256542</v>
      </c>
      <c r="M24" s="134">
        <f t="shared" si="2"/>
        <v>399.4538514256542</v>
      </c>
      <c r="N24" s="135">
        <f t="shared" si="2"/>
        <v>649.4538514256542</v>
      </c>
      <c r="P24" s="201"/>
      <c r="Q24" s="118">
        <f>Q23+0.5</f>
        <v>4.5</v>
      </c>
      <c r="R24" s="119">
        <f>R$19-($B$17/$E24)</f>
        <v>-811.7968429910588</v>
      </c>
      <c r="S24" s="119">
        <f>S$19-($B$17/$E24)</f>
        <v>-561.7968429910588</v>
      </c>
      <c r="T24" s="119">
        <f t="shared" si="3"/>
        <v>-311.79684299105884</v>
      </c>
      <c r="U24" s="119">
        <f t="shared" si="3"/>
        <v>-61.79684299105884</v>
      </c>
      <c r="V24" s="119">
        <f t="shared" si="3"/>
        <v>188.20315700894116</v>
      </c>
      <c r="W24" s="119">
        <f t="shared" si="3"/>
        <v>438.20315700894116</v>
      </c>
      <c r="X24" s="119">
        <f t="shared" si="3"/>
        <v>688.2031570089412</v>
      </c>
      <c r="Y24" s="119">
        <f t="shared" si="3"/>
        <v>938.2031570089412</v>
      </c>
      <c r="Z24" s="119">
        <f t="shared" si="3"/>
        <v>1188.2031570089412</v>
      </c>
    </row>
    <row r="25" spans="1:24" ht="13.5" customHeight="1" thickBot="1">
      <c r="A25" s="136" t="s">
        <v>62</v>
      </c>
      <c r="B25" s="137">
        <f>B23-B24</f>
        <v>1729</v>
      </c>
      <c r="C25" s="99"/>
      <c r="D25" s="138"/>
      <c r="E25" s="139"/>
      <c r="F25" s="140"/>
      <c r="G25" s="140"/>
      <c r="H25" s="140"/>
      <c r="I25" s="140"/>
      <c r="J25" s="140"/>
      <c r="K25" s="140"/>
      <c r="L25" s="140"/>
      <c r="P25" s="138"/>
      <c r="Q25" s="139"/>
      <c r="R25" s="140"/>
      <c r="S25" s="140"/>
      <c r="T25" s="140"/>
      <c r="U25" s="140"/>
      <c r="V25" s="140"/>
      <c r="W25" s="140"/>
      <c r="X25" s="140"/>
    </row>
    <row r="26" spans="1:24" s="94" customFormat="1" ht="13.5" customHeight="1">
      <c r="A26" s="141"/>
      <c r="B26" s="142"/>
      <c r="C26" s="143"/>
      <c r="D26" s="144"/>
      <c r="E26" s="145"/>
      <c r="F26" s="140"/>
      <c r="G26" s="140"/>
      <c r="H26" s="140"/>
      <c r="I26" s="140"/>
      <c r="J26" s="140"/>
      <c r="K26" s="140"/>
      <c r="L26" s="140"/>
      <c r="P26" s="144"/>
      <c r="Q26" s="145"/>
      <c r="R26" s="140"/>
      <c r="S26" s="140"/>
      <c r="T26" s="140"/>
      <c r="U26" s="140"/>
      <c r="V26" s="140"/>
      <c r="W26" s="140"/>
      <c r="X26" s="140"/>
    </row>
    <row r="27" spans="1:24" ht="13.5" customHeight="1">
      <c r="A27" s="141"/>
      <c r="B27" s="142"/>
      <c r="C27" s="99"/>
      <c r="D27" s="138"/>
      <c r="E27" s="139"/>
      <c r="F27" s="140"/>
      <c r="G27" s="140"/>
      <c r="H27" s="140"/>
      <c r="I27" s="140"/>
      <c r="J27" s="140"/>
      <c r="K27" s="140"/>
      <c r="L27" s="140"/>
      <c r="P27" s="138"/>
      <c r="Q27" s="139"/>
      <c r="R27" s="140"/>
      <c r="S27" s="140"/>
      <c r="T27" s="140"/>
      <c r="U27" s="140"/>
      <c r="V27" s="140"/>
      <c r="W27" s="140"/>
      <c r="X27" s="140"/>
    </row>
    <row r="28" spans="1:14" s="92" customFormat="1" ht="33.75" customHeight="1" thickBot="1">
      <c r="A28" s="198" t="s">
        <v>85</v>
      </c>
      <c r="B28" s="198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</row>
    <row r="29" spans="1:26" ht="20.25" customHeight="1" thickBot="1">
      <c r="A29" s="96" t="s">
        <v>109</v>
      </c>
      <c r="B29" s="162"/>
      <c r="C29" s="97"/>
      <c r="D29" s="202" t="s">
        <v>50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4"/>
      <c r="P29" s="202" t="s">
        <v>51</v>
      </c>
      <c r="Q29" s="203"/>
      <c r="R29" s="203"/>
      <c r="S29" s="203"/>
      <c r="T29" s="203"/>
      <c r="U29" s="203"/>
      <c r="V29" s="203"/>
      <c r="W29" s="203"/>
      <c r="X29" s="203"/>
      <c r="Y29" s="203"/>
      <c r="Z29" s="204"/>
    </row>
    <row r="30" spans="1:26" ht="13.5" customHeight="1" thickBot="1">
      <c r="A30" s="98" t="s">
        <v>52</v>
      </c>
      <c r="B30" s="189">
        <f>INDEX('W-RR mielies Hoer opbrengs  '!M9:O14,MATCH($B$34,RRHpbrengspeil,0),2)</f>
        <v>10053.122757931422</v>
      </c>
      <c r="C30" s="99"/>
      <c r="D30" s="100"/>
      <c r="E30" s="101"/>
      <c r="F30" s="102"/>
      <c r="G30" s="103"/>
      <c r="H30" s="102"/>
      <c r="I30" s="102"/>
      <c r="J30" s="102" t="s">
        <v>53</v>
      </c>
      <c r="K30" s="104"/>
      <c r="L30" s="102"/>
      <c r="M30" s="104"/>
      <c r="N30" s="102"/>
      <c r="P30" s="100"/>
      <c r="Q30" s="101"/>
      <c r="R30" s="102"/>
      <c r="S30" s="103"/>
      <c r="T30" s="102"/>
      <c r="U30" s="102"/>
      <c r="V30" s="102" t="s">
        <v>53</v>
      </c>
      <c r="W30" s="104"/>
      <c r="X30" s="102"/>
      <c r="Y30" s="104"/>
      <c r="Z30" s="102"/>
    </row>
    <row r="31" spans="1:26" ht="13.5" customHeight="1" thickBot="1">
      <c r="A31" s="105" t="s">
        <v>54</v>
      </c>
      <c r="B31" s="189">
        <f>INDEX('W-RR mielies Hoer opbrengs  '!M9:O14,MATCH($B$34,RRHpbrengspeil,0),3)</f>
        <v>2571.812875124792</v>
      </c>
      <c r="C31" s="99"/>
      <c r="D31" s="202" t="s">
        <v>55</v>
      </c>
      <c r="E31" s="204"/>
      <c r="F31" s="106">
        <f>G31-250</f>
        <v>1000</v>
      </c>
      <c r="G31" s="106">
        <f>H31-250</f>
        <v>1250</v>
      </c>
      <c r="H31" s="106">
        <f>I31-250</f>
        <v>1500</v>
      </c>
      <c r="I31" s="106">
        <f>J31-250</f>
        <v>1750</v>
      </c>
      <c r="J31" s="107">
        <f>B36</f>
        <v>2000</v>
      </c>
      <c r="K31" s="106">
        <f>J31+250</f>
        <v>2250</v>
      </c>
      <c r="L31" s="106">
        <f>K31+250</f>
        <v>2500</v>
      </c>
      <c r="M31" s="106">
        <f>L31+250</f>
        <v>2750</v>
      </c>
      <c r="N31" s="106">
        <f>M31+250</f>
        <v>3000</v>
      </c>
      <c r="P31" s="202" t="s">
        <v>55</v>
      </c>
      <c r="Q31" s="204"/>
      <c r="R31" s="108">
        <f>S31-250</f>
        <v>1000</v>
      </c>
      <c r="S31" s="108">
        <f>T31-250</f>
        <v>1250</v>
      </c>
      <c r="T31" s="108">
        <f>U31-250</f>
        <v>1500</v>
      </c>
      <c r="U31" s="108">
        <f>V31-250</f>
        <v>1750</v>
      </c>
      <c r="V31" s="109">
        <f>J31</f>
        <v>2000</v>
      </c>
      <c r="W31" s="108">
        <f>V31+250</f>
        <v>2250</v>
      </c>
      <c r="X31" s="108">
        <f>W31+250</f>
        <v>2500</v>
      </c>
      <c r="Y31" s="108">
        <f>X31+250</f>
        <v>2750</v>
      </c>
      <c r="Z31" s="108">
        <f>Y31+250</f>
        <v>3000</v>
      </c>
    </row>
    <row r="32" spans="1:26" ht="13.5" customHeight="1" thickBot="1">
      <c r="A32" s="110" t="s">
        <v>56</v>
      </c>
      <c r="B32" s="111">
        <f>B31+B30</f>
        <v>12624.935633056213</v>
      </c>
      <c r="C32" s="112"/>
      <c r="D32" s="205" t="s">
        <v>57</v>
      </c>
      <c r="E32" s="206"/>
      <c r="F32" s="113">
        <f aca="true" t="shared" si="4" ref="F32:N32">F31-$B$24</f>
        <v>729</v>
      </c>
      <c r="G32" s="113">
        <f t="shared" si="4"/>
        <v>979</v>
      </c>
      <c r="H32" s="113">
        <f t="shared" si="4"/>
        <v>1229</v>
      </c>
      <c r="I32" s="113">
        <f t="shared" si="4"/>
        <v>1479</v>
      </c>
      <c r="J32" s="114">
        <f t="shared" si="4"/>
        <v>1729</v>
      </c>
      <c r="K32" s="113">
        <f t="shared" si="4"/>
        <v>1979</v>
      </c>
      <c r="L32" s="113">
        <f t="shared" si="4"/>
        <v>2229</v>
      </c>
      <c r="M32" s="113">
        <f t="shared" si="4"/>
        <v>2479</v>
      </c>
      <c r="N32" s="113">
        <f t="shared" si="4"/>
        <v>2729</v>
      </c>
      <c r="P32" s="205" t="s">
        <v>57</v>
      </c>
      <c r="Q32" s="206"/>
      <c r="R32" s="113">
        <f aca="true" t="shared" si="5" ref="R32:Z32">R31-$B$24</f>
        <v>729</v>
      </c>
      <c r="S32" s="113">
        <f t="shared" si="5"/>
        <v>979</v>
      </c>
      <c r="T32" s="113">
        <f t="shared" si="5"/>
        <v>1229</v>
      </c>
      <c r="U32" s="113">
        <f t="shared" si="5"/>
        <v>1479</v>
      </c>
      <c r="V32" s="115">
        <f t="shared" si="5"/>
        <v>1729</v>
      </c>
      <c r="W32" s="113">
        <f t="shared" si="5"/>
        <v>1979</v>
      </c>
      <c r="X32" s="113">
        <f t="shared" si="5"/>
        <v>2229</v>
      </c>
      <c r="Y32" s="113">
        <f t="shared" si="5"/>
        <v>2479</v>
      </c>
      <c r="Z32" s="113">
        <f t="shared" si="5"/>
        <v>2729</v>
      </c>
    </row>
    <row r="33" spans="1:26" ht="13.5" customHeight="1" thickBot="1">
      <c r="A33" s="116"/>
      <c r="B33" s="117"/>
      <c r="C33" s="99"/>
      <c r="D33" s="199" t="s">
        <v>58</v>
      </c>
      <c r="E33" s="118">
        <f>E34-0.5</f>
        <v>6.25</v>
      </c>
      <c r="F33" s="119">
        <f aca="true" t="shared" si="6" ref="F33:N37">F$32-($B$32/$E33)</f>
        <v>-1290.9897012889942</v>
      </c>
      <c r="G33" s="119">
        <f t="shared" si="6"/>
        <v>-1040.9897012889942</v>
      </c>
      <c r="H33" s="119">
        <f t="shared" si="6"/>
        <v>-790.9897012889942</v>
      </c>
      <c r="I33" s="119">
        <f t="shared" si="6"/>
        <v>-540.9897012889942</v>
      </c>
      <c r="J33" s="119">
        <f t="shared" si="6"/>
        <v>-290.9897012889942</v>
      </c>
      <c r="K33" s="119">
        <f t="shared" si="6"/>
        <v>-40.98970128899418</v>
      </c>
      <c r="L33" s="119">
        <f t="shared" si="6"/>
        <v>209.01029871100582</v>
      </c>
      <c r="M33" s="119">
        <f t="shared" si="6"/>
        <v>459.0102987110058</v>
      </c>
      <c r="N33" s="119">
        <f t="shared" si="6"/>
        <v>709.0102987110058</v>
      </c>
      <c r="P33" s="199" t="s">
        <v>58</v>
      </c>
      <c r="Q33" s="118">
        <f>Q34-0.5</f>
        <v>6.25</v>
      </c>
      <c r="R33" s="119">
        <f aca="true" t="shared" si="7" ref="R33:Z37">R$32-($B$30/$E33)</f>
        <v>-879.4996412690275</v>
      </c>
      <c r="S33" s="119">
        <f t="shared" si="7"/>
        <v>-629.4996412690275</v>
      </c>
      <c r="T33" s="119">
        <f t="shared" si="7"/>
        <v>-379.4996412690275</v>
      </c>
      <c r="U33" s="119">
        <f t="shared" si="7"/>
        <v>-129.4996412690275</v>
      </c>
      <c r="V33" s="119">
        <f t="shared" si="7"/>
        <v>120.5003587309725</v>
      </c>
      <c r="W33" s="119">
        <f t="shared" si="7"/>
        <v>370.5003587309725</v>
      </c>
      <c r="X33" s="119">
        <f t="shared" si="7"/>
        <v>620.5003587309725</v>
      </c>
      <c r="Y33" s="119">
        <f t="shared" si="7"/>
        <v>870.5003587309725</v>
      </c>
      <c r="Z33" s="119">
        <f t="shared" si="7"/>
        <v>1120.5003587309725</v>
      </c>
    </row>
    <row r="34" spans="1:26" ht="13.5" customHeight="1" thickBot="1">
      <c r="A34" s="123" t="s">
        <v>59</v>
      </c>
      <c r="B34" s="193">
        <f>'W-RR mielies Hoer opbrengs  '!G5</f>
        <v>7.25</v>
      </c>
      <c r="C34" s="99"/>
      <c r="D34" s="200"/>
      <c r="E34" s="118">
        <f>E35-0.5</f>
        <v>6.75</v>
      </c>
      <c r="F34" s="119">
        <f t="shared" si="6"/>
        <v>-1141.3608345268465</v>
      </c>
      <c r="G34" s="119">
        <f t="shared" si="6"/>
        <v>-891.3608345268465</v>
      </c>
      <c r="H34" s="119">
        <f t="shared" si="6"/>
        <v>-641.3608345268465</v>
      </c>
      <c r="I34" s="119">
        <f t="shared" si="6"/>
        <v>-391.3608345268465</v>
      </c>
      <c r="J34" s="119">
        <f t="shared" si="6"/>
        <v>-141.36083452684647</v>
      </c>
      <c r="K34" s="119">
        <f t="shared" si="6"/>
        <v>108.63916547315353</v>
      </c>
      <c r="L34" s="119">
        <f t="shared" si="6"/>
        <v>358.6391654731535</v>
      </c>
      <c r="M34" s="119">
        <f t="shared" si="6"/>
        <v>608.6391654731535</v>
      </c>
      <c r="N34" s="119">
        <f t="shared" si="6"/>
        <v>858.6391654731535</v>
      </c>
      <c r="P34" s="200"/>
      <c r="Q34" s="118">
        <f>Q35-0.5</f>
        <v>6.75</v>
      </c>
      <c r="R34" s="119">
        <f t="shared" si="7"/>
        <v>-760.3515196935439</v>
      </c>
      <c r="S34" s="119">
        <f t="shared" si="7"/>
        <v>-510.3515196935439</v>
      </c>
      <c r="T34" s="119">
        <f t="shared" si="7"/>
        <v>-260.3515196935439</v>
      </c>
      <c r="U34" s="119">
        <f t="shared" si="7"/>
        <v>-10.351519693543878</v>
      </c>
      <c r="V34" s="119">
        <f t="shared" si="7"/>
        <v>239.64848030645612</v>
      </c>
      <c r="W34" s="119">
        <f t="shared" si="7"/>
        <v>489.6484803064561</v>
      </c>
      <c r="X34" s="119">
        <f t="shared" si="7"/>
        <v>739.6484803064561</v>
      </c>
      <c r="Y34" s="119">
        <f t="shared" si="7"/>
        <v>989.6484803064561</v>
      </c>
      <c r="Z34" s="119">
        <f t="shared" si="7"/>
        <v>1239.6484803064561</v>
      </c>
    </row>
    <row r="35" spans="1:26" ht="13.5" customHeight="1" thickBot="1">
      <c r="A35" s="116"/>
      <c r="B35" s="117"/>
      <c r="C35" s="99"/>
      <c r="D35" s="200"/>
      <c r="E35" s="128">
        <f>B34</f>
        <v>7.25</v>
      </c>
      <c r="F35" s="119">
        <f t="shared" si="6"/>
        <v>-1012.3704321456846</v>
      </c>
      <c r="G35" s="119">
        <f t="shared" si="6"/>
        <v>-762.3704321456846</v>
      </c>
      <c r="H35" s="119">
        <f t="shared" si="6"/>
        <v>-512.3704321456846</v>
      </c>
      <c r="I35" s="119">
        <f>I$32-($B$32/$E35)</f>
        <v>-262.3704321456846</v>
      </c>
      <c r="J35" s="119">
        <f t="shared" si="6"/>
        <v>-12.370432145684617</v>
      </c>
      <c r="K35" s="119">
        <f t="shared" si="6"/>
        <v>237.62956785431538</v>
      </c>
      <c r="L35" s="119">
        <f t="shared" si="6"/>
        <v>487.6295678543154</v>
      </c>
      <c r="M35" s="119">
        <f t="shared" si="6"/>
        <v>737.6295678543154</v>
      </c>
      <c r="N35" s="119">
        <f t="shared" si="6"/>
        <v>987.6295678543154</v>
      </c>
      <c r="P35" s="200"/>
      <c r="Q35" s="128">
        <f>E35</f>
        <v>7.25</v>
      </c>
      <c r="R35" s="119">
        <f t="shared" si="7"/>
        <v>-657.6376217836444</v>
      </c>
      <c r="S35" s="119">
        <f t="shared" si="7"/>
        <v>-407.63762178364436</v>
      </c>
      <c r="T35" s="119">
        <f t="shared" si="7"/>
        <v>-157.63762178364436</v>
      </c>
      <c r="U35" s="119">
        <f t="shared" si="7"/>
        <v>92.36237821635564</v>
      </c>
      <c r="V35" s="119">
        <f t="shared" si="7"/>
        <v>342.36237821635564</v>
      </c>
      <c r="W35" s="119">
        <f t="shared" si="7"/>
        <v>592.3623782163556</v>
      </c>
      <c r="X35" s="119">
        <f t="shared" si="7"/>
        <v>842.3623782163556</v>
      </c>
      <c r="Y35" s="119">
        <f t="shared" si="7"/>
        <v>1092.3623782163556</v>
      </c>
      <c r="Z35" s="119">
        <f t="shared" si="7"/>
        <v>1342.3623782163556</v>
      </c>
    </row>
    <row r="36" spans="1:26" ht="13.5" customHeight="1" thickBot="1">
      <c r="A36" s="129" t="s">
        <v>60</v>
      </c>
      <c r="B36" s="130">
        <f>B4</f>
        <v>2000</v>
      </c>
      <c r="C36" s="99"/>
      <c r="D36" s="200"/>
      <c r="E36" s="118">
        <f>E35+0.5</f>
        <v>7.75</v>
      </c>
      <c r="F36" s="119">
        <f t="shared" si="6"/>
        <v>-900.0239526524147</v>
      </c>
      <c r="G36" s="119">
        <f t="shared" si="6"/>
        <v>-650.0239526524147</v>
      </c>
      <c r="H36" s="119">
        <f t="shared" si="6"/>
        <v>-400.02395265241466</v>
      </c>
      <c r="I36" s="119">
        <f t="shared" si="6"/>
        <v>-150.02395265241466</v>
      </c>
      <c r="J36" s="119">
        <f t="shared" si="6"/>
        <v>99.97604734758534</v>
      </c>
      <c r="K36" s="119">
        <f t="shared" si="6"/>
        <v>349.97604734758534</v>
      </c>
      <c r="L36" s="119">
        <f t="shared" si="6"/>
        <v>599.9760473475853</v>
      </c>
      <c r="M36" s="119">
        <f t="shared" si="6"/>
        <v>849.9760473475853</v>
      </c>
      <c r="N36" s="119">
        <f t="shared" si="6"/>
        <v>1099.9760473475853</v>
      </c>
      <c r="P36" s="200"/>
      <c r="Q36" s="118">
        <f>Q35+0.5</f>
        <v>7.75</v>
      </c>
      <c r="R36" s="119">
        <f t="shared" si="7"/>
        <v>-568.1771300556672</v>
      </c>
      <c r="S36" s="119">
        <f t="shared" si="7"/>
        <v>-318.17713005566725</v>
      </c>
      <c r="T36" s="119">
        <f t="shared" si="7"/>
        <v>-68.17713005566725</v>
      </c>
      <c r="U36" s="119">
        <f t="shared" si="7"/>
        <v>181.82286994433275</v>
      </c>
      <c r="V36" s="119">
        <f t="shared" si="7"/>
        <v>431.82286994433275</v>
      </c>
      <c r="W36" s="119">
        <f t="shared" si="7"/>
        <v>681.8228699443328</v>
      </c>
      <c r="X36" s="119">
        <f t="shared" si="7"/>
        <v>931.8228699443328</v>
      </c>
      <c r="Y36" s="119">
        <f t="shared" si="7"/>
        <v>1181.8228699443328</v>
      </c>
      <c r="Z36" s="119">
        <f t="shared" si="7"/>
        <v>1431.8228699443328</v>
      </c>
    </row>
    <row r="37" spans="1:26" ht="13.5" customHeight="1" thickBot="1">
      <c r="A37" s="131" t="s">
        <v>61</v>
      </c>
      <c r="B37" s="130">
        <f>D4</f>
        <v>271</v>
      </c>
      <c r="C37" s="99"/>
      <c r="D37" s="201"/>
      <c r="E37" s="118">
        <f>E36+0.5</f>
        <v>8.25</v>
      </c>
      <c r="F37" s="119">
        <f>F$32-($B$32/$E37)</f>
        <v>-801.2952282492379</v>
      </c>
      <c r="G37" s="119">
        <f t="shared" si="6"/>
        <v>-551.2952282492379</v>
      </c>
      <c r="H37" s="119">
        <f t="shared" si="6"/>
        <v>-301.2952282492379</v>
      </c>
      <c r="I37" s="119">
        <f t="shared" si="6"/>
        <v>-51.29522824923788</v>
      </c>
      <c r="J37" s="119">
        <f t="shared" si="6"/>
        <v>198.70477175076212</v>
      </c>
      <c r="K37" s="119">
        <f t="shared" si="6"/>
        <v>448.7047717507621</v>
      </c>
      <c r="L37" s="119">
        <f t="shared" si="6"/>
        <v>698.7047717507621</v>
      </c>
      <c r="M37" s="119">
        <f t="shared" si="6"/>
        <v>948.7047717507621</v>
      </c>
      <c r="N37" s="119">
        <f t="shared" si="6"/>
        <v>1198.7047717507621</v>
      </c>
      <c r="P37" s="201"/>
      <c r="Q37" s="118">
        <f>Q36+0.5</f>
        <v>8.25</v>
      </c>
      <c r="R37" s="119">
        <f>R$32-($B$30/$E37)</f>
        <v>-489.5603342947179</v>
      </c>
      <c r="S37" s="119">
        <f t="shared" si="7"/>
        <v>-239.5603342947179</v>
      </c>
      <c r="T37" s="119">
        <f t="shared" si="7"/>
        <v>10.439665705282096</v>
      </c>
      <c r="U37" s="119">
        <f t="shared" si="7"/>
        <v>260.4396657052821</v>
      </c>
      <c r="V37" s="119">
        <f t="shared" si="7"/>
        <v>510.4396657052821</v>
      </c>
      <c r="W37" s="119">
        <f t="shared" si="7"/>
        <v>760.4396657052821</v>
      </c>
      <c r="X37" s="119">
        <f t="shared" si="7"/>
        <v>1010.4396657052821</v>
      </c>
      <c r="Y37" s="119">
        <f t="shared" si="7"/>
        <v>1260.439665705282</v>
      </c>
      <c r="Z37" s="119">
        <f t="shared" si="7"/>
        <v>1510.439665705282</v>
      </c>
    </row>
    <row r="38" spans="1:24" ht="13.5" customHeight="1" thickBot="1">
      <c r="A38" s="136" t="s">
        <v>62</v>
      </c>
      <c r="B38" s="163">
        <f>B36-B37</f>
        <v>1729</v>
      </c>
      <c r="C38" s="99"/>
      <c r="D38" s="138"/>
      <c r="E38" s="139"/>
      <c r="F38" s="140"/>
      <c r="G38" s="140"/>
      <c r="H38" s="140"/>
      <c r="I38" s="140"/>
      <c r="J38" s="140"/>
      <c r="K38" s="140"/>
      <c r="L38" s="140"/>
      <c r="P38" s="138"/>
      <c r="Q38" s="139"/>
      <c r="R38" s="140"/>
      <c r="S38" s="140"/>
      <c r="T38" s="140"/>
      <c r="U38" s="140"/>
      <c r="V38" s="140"/>
      <c r="W38" s="140"/>
      <c r="X38" s="140"/>
    </row>
    <row r="39" spans="1:24" s="94" customFormat="1" ht="13.5" customHeight="1">
      <c r="A39" s="141"/>
      <c r="B39" s="142"/>
      <c r="C39" s="143"/>
      <c r="D39" s="144"/>
      <c r="E39" s="145"/>
      <c r="F39" s="140"/>
      <c r="G39" s="140"/>
      <c r="H39" s="140"/>
      <c r="I39" s="140"/>
      <c r="J39" s="140"/>
      <c r="K39" s="140"/>
      <c r="L39" s="140"/>
      <c r="P39" s="144"/>
      <c r="Q39" s="145"/>
      <c r="R39" s="140"/>
      <c r="S39" s="140"/>
      <c r="T39" s="140"/>
      <c r="U39" s="140"/>
      <c r="V39" s="140"/>
      <c r="W39" s="140"/>
      <c r="X39" s="140"/>
    </row>
    <row r="40" spans="1:24" ht="13.5" customHeight="1">
      <c r="A40" s="141"/>
      <c r="B40" s="142"/>
      <c r="C40" s="99"/>
      <c r="D40" s="138"/>
      <c r="E40" s="139"/>
      <c r="F40" s="140"/>
      <c r="G40" s="140"/>
      <c r="H40" s="140"/>
      <c r="I40" s="140"/>
      <c r="J40" s="140"/>
      <c r="K40" s="140"/>
      <c r="L40" s="140"/>
      <c r="P40" s="138"/>
      <c r="Q40" s="139"/>
      <c r="R40" s="140"/>
      <c r="S40" s="140"/>
      <c r="T40" s="140"/>
      <c r="U40" s="140"/>
      <c r="V40" s="140"/>
      <c r="W40" s="140"/>
      <c r="X40" s="140"/>
    </row>
    <row r="41" spans="1:14" s="92" customFormat="1" ht="13.5" customHeight="1" thickBot="1">
      <c r="A41" s="198" t="s">
        <v>84</v>
      </c>
      <c r="B41" s="198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26" ht="20.25" customHeight="1" thickBot="1">
      <c r="A42" s="96" t="s">
        <v>109</v>
      </c>
      <c r="B42" s="162"/>
      <c r="C42" s="97"/>
      <c r="D42" s="202" t="s">
        <v>50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4"/>
      <c r="P42" s="202" t="s">
        <v>51</v>
      </c>
      <c r="Q42" s="203"/>
      <c r="R42" s="203"/>
      <c r="S42" s="203"/>
      <c r="T42" s="203"/>
      <c r="U42" s="203"/>
      <c r="V42" s="203"/>
      <c r="W42" s="203"/>
      <c r="X42" s="203"/>
      <c r="Y42" s="203"/>
      <c r="Z42" s="204"/>
    </row>
    <row r="43" spans="1:26" ht="13.5" customHeight="1" thickBot="1">
      <c r="A43" s="98" t="s">
        <v>52</v>
      </c>
      <c r="B43" s="189">
        <f>INDEX('W-BT Mielies '!M9:O14,MATCH($B$47,BTopbrengspeil,0),2)</f>
        <v>8046.483729431607</v>
      </c>
      <c r="C43" s="99"/>
      <c r="D43" s="100"/>
      <c r="E43" s="101"/>
      <c r="F43" s="102"/>
      <c r="G43" s="103"/>
      <c r="H43" s="102"/>
      <c r="I43" s="102"/>
      <c r="J43" s="102" t="s">
        <v>53</v>
      </c>
      <c r="K43" s="104"/>
      <c r="L43" s="102"/>
      <c r="M43" s="104"/>
      <c r="N43" s="102"/>
      <c r="P43" s="100"/>
      <c r="Q43" s="101"/>
      <c r="R43" s="102"/>
      <c r="S43" s="103"/>
      <c r="T43" s="102"/>
      <c r="U43" s="102"/>
      <c r="V43" s="102" t="s">
        <v>53</v>
      </c>
      <c r="W43" s="104"/>
      <c r="X43" s="102"/>
      <c r="Y43" s="104"/>
      <c r="Z43" s="102"/>
    </row>
    <row r="44" spans="1:26" ht="13.5" customHeight="1" thickBot="1">
      <c r="A44" s="105" t="s">
        <v>54</v>
      </c>
      <c r="B44" s="189">
        <f>INDEX('W-BT Mielies '!M9:O14,MATCH($B$47,BTopbrengspeil,0),3)</f>
        <v>2456.947875124792</v>
      </c>
      <c r="C44" s="99"/>
      <c r="D44" s="202" t="s">
        <v>55</v>
      </c>
      <c r="E44" s="204"/>
      <c r="F44" s="106">
        <f>G44-250</f>
        <v>1000</v>
      </c>
      <c r="G44" s="106">
        <f>H44-250</f>
        <v>1250</v>
      </c>
      <c r="H44" s="106">
        <f>I44-250</f>
        <v>1500</v>
      </c>
      <c r="I44" s="106">
        <f>J44-250</f>
        <v>1750</v>
      </c>
      <c r="J44" s="102">
        <f>B49</f>
        <v>2000</v>
      </c>
      <c r="K44" s="106">
        <f>J44+250</f>
        <v>2250</v>
      </c>
      <c r="L44" s="106">
        <f>K44+250</f>
        <v>2500</v>
      </c>
      <c r="M44" s="106">
        <f>L44+250</f>
        <v>2750</v>
      </c>
      <c r="N44" s="106">
        <f>M44+250</f>
        <v>3000</v>
      </c>
      <c r="P44" s="202" t="s">
        <v>55</v>
      </c>
      <c r="Q44" s="204"/>
      <c r="R44" s="108">
        <f>S44-250</f>
        <v>1000</v>
      </c>
      <c r="S44" s="108">
        <f>T44-250</f>
        <v>1250</v>
      </c>
      <c r="T44" s="108">
        <f>U44-250</f>
        <v>1500</v>
      </c>
      <c r="U44" s="108">
        <f>V44-250</f>
        <v>1750</v>
      </c>
      <c r="V44" s="109">
        <f>J44</f>
        <v>2000</v>
      </c>
      <c r="W44" s="108">
        <f>V44+250</f>
        <v>2250</v>
      </c>
      <c r="X44" s="108">
        <f>W44+250</f>
        <v>2500</v>
      </c>
      <c r="Y44" s="108">
        <f>X44+250</f>
        <v>2750</v>
      </c>
      <c r="Z44" s="108">
        <f>Y44+250</f>
        <v>3000</v>
      </c>
    </row>
    <row r="45" spans="1:26" ht="13.5" customHeight="1" thickBot="1">
      <c r="A45" s="110" t="s">
        <v>56</v>
      </c>
      <c r="B45" s="111">
        <f>B44+B43</f>
        <v>10503.4316045564</v>
      </c>
      <c r="C45" s="112"/>
      <c r="D45" s="205" t="s">
        <v>57</v>
      </c>
      <c r="E45" s="206"/>
      <c r="F45" s="106">
        <f aca="true" t="shared" si="8" ref="F45:N45">F44-$B$50</f>
        <v>729</v>
      </c>
      <c r="G45" s="106">
        <f t="shared" si="8"/>
        <v>979</v>
      </c>
      <c r="H45" s="106">
        <f t="shared" si="8"/>
        <v>1229</v>
      </c>
      <c r="I45" s="106">
        <f t="shared" si="8"/>
        <v>1479</v>
      </c>
      <c r="J45" s="102">
        <f t="shared" si="8"/>
        <v>1729</v>
      </c>
      <c r="K45" s="106">
        <f t="shared" si="8"/>
        <v>1979</v>
      </c>
      <c r="L45" s="106">
        <f t="shared" si="8"/>
        <v>2229</v>
      </c>
      <c r="M45" s="106">
        <f t="shared" si="8"/>
        <v>2479</v>
      </c>
      <c r="N45" s="106">
        <f t="shared" si="8"/>
        <v>2729</v>
      </c>
      <c r="P45" s="205" t="s">
        <v>57</v>
      </c>
      <c r="Q45" s="206"/>
      <c r="R45" s="108">
        <f aca="true" t="shared" si="9" ref="R45:Z45">R44-$B$50</f>
        <v>729</v>
      </c>
      <c r="S45" s="108">
        <f t="shared" si="9"/>
        <v>979</v>
      </c>
      <c r="T45" s="108">
        <f t="shared" si="9"/>
        <v>1229</v>
      </c>
      <c r="U45" s="108">
        <f t="shared" si="9"/>
        <v>1479</v>
      </c>
      <c r="V45" s="109">
        <f t="shared" si="9"/>
        <v>1729</v>
      </c>
      <c r="W45" s="108">
        <f t="shared" si="9"/>
        <v>1979</v>
      </c>
      <c r="X45" s="108">
        <f t="shared" si="9"/>
        <v>2229</v>
      </c>
      <c r="Y45" s="108">
        <f t="shared" si="9"/>
        <v>2479</v>
      </c>
      <c r="Z45" s="108">
        <f t="shared" si="9"/>
        <v>2729</v>
      </c>
    </row>
    <row r="46" spans="1:26" ht="13.5" customHeight="1" thickBot="1">
      <c r="A46" s="116"/>
      <c r="B46" s="117"/>
      <c r="C46" s="99"/>
      <c r="D46" s="199" t="s">
        <v>58</v>
      </c>
      <c r="E46" s="118">
        <f>E47-0.5</f>
        <v>3.5</v>
      </c>
      <c r="F46" s="119">
        <f aca="true" t="shared" si="10" ref="F46:N50">F$32-($B$45/$E46)</f>
        <v>-2271.9804584446856</v>
      </c>
      <c r="G46" s="119">
        <f t="shared" si="10"/>
        <v>-2021.9804584446856</v>
      </c>
      <c r="H46" s="119">
        <f t="shared" si="10"/>
        <v>-1771.9804584446856</v>
      </c>
      <c r="I46" s="119">
        <f t="shared" si="10"/>
        <v>-1521.9804584446856</v>
      </c>
      <c r="J46" s="119">
        <f t="shared" si="10"/>
        <v>-1271.9804584446856</v>
      </c>
      <c r="K46" s="119">
        <f t="shared" si="10"/>
        <v>-1021.9804584446856</v>
      </c>
      <c r="L46" s="119">
        <f t="shared" si="10"/>
        <v>-771.9804584446856</v>
      </c>
      <c r="M46" s="119">
        <f t="shared" si="10"/>
        <v>-521.9804584446856</v>
      </c>
      <c r="N46" s="119">
        <f t="shared" si="10"/>
        <v>-271.9804584446856</v>
      </c>
      <c r="P46" s="199" t="s">
        <v>58</v>
      </c>
      <c r="Q46" s="118">
        <f>Q47-0.5</f>
        <v>3.5</v>
      </c>
      <c r="R46" s="119">
        <f>R$32-($B$43/$E46)</f>
        <v>-1569.9953512661732</v>
      </c>
      <c r="S46" s="119">
        <f aca="true" t="shared" si="11" ref="S46:Z46">S$32-($B$43/$E46)</f>
        <v>-1319.9953512661732</v>
      </c>
      <c r="T46" s="119">
        <f t="shared" si="11"/>
        <v>-1069.9953512661732</v>
      </c>
      <c r="U46" s="119">
        <f t="shared" si="11"/>
        <v>-819.9953512661732</v>
      </c>
      <c r="V46" s="119">
        <f t="shared" si="11"/>
        <v>-569.9953512661732</v>
      </c>
      <c r="W46" s="119">
        <f t="shared" si="11"/>
        <v>-319.9953512661732</v>
      </c>
      <c r="X46" s="119">
        <f t="shared" si="11"/>
        <v>-69.9953512661732</v>
      </c>
      <c r="Y46" s="119">
        <f t="shared" si="11"/>
        <v>180.0046487338268</v>
      </c>
      <c r="Z46" s="119">
        <f t="shared" si="11"/>
        <v>430.0046487338268</v>
      </c>
    </row>
    <row r="47" spans="1:26" ht="13.5" customHeight="1" thickBot="1">
      <c r="A47" s="123" t="s">
        <v>59</v>
      </c>
      <c r="B47" s="193">
        <f>'W-BT Mielies '!F5</f>
        <v>4.5</v>
      </c>
      <c r="C47" s="99"/>
      <c r="D47" s="200"/>
      <c r="E47" s="118">
        <f>E48-0.5</f>
        <v>4</v>
      </c>
      <c r="F47" s="119">
        <f t="shared" si="10"/>
        <v>-1896.8579011390998</v>
      </c>
      <c r="G47" s="119">
        <f t="shared" si="10"/>
        <v>-1646.8579011390998</v>
      </c>
      <c r="H47" s="119">
        <f t="shared" si="10"/>
        <v>-1396.8579011390998</v>
      </c>
      <c r="I47" s="119">
        <f t="shared" si="10"/>
        <v>-1146.8579011390998</v>
      </c>
      <c r="J47" s="119">
        <f t="shared" si="10"/>
        <v>-896.8579011390998</v>
      </c>
      <c r="K47" s="119">
        <f t="shared" si="10"/>
        <v>-646.8579011390998</v>
      </c>
      <c r="L47" s="119">
        <f t="shared" si="10"/>
        <v>-396.8579011390998</v>
      </c>
      <c r="M47" s="119">
        <f t="shared" si="10"/>
        <v>-146.8579011390998</v>
      </c>
      <c r="N47" s="119">
        <f t="shared" si="10"/>
        <v>103.1420988609002</v>
      </c>
      <c r="P47" s="200"/>
      <c r="Q47" s="118">
        <f>Q48-0.5</f>
        <v>4</v>
      </c>
      <c r="R47" s="119">
        <f aca="true" t="shared" si="12" ref="R47:Z50">R$32-($B$43/$E47)</f>
        <v>-1282.6209323579017</v>
      </c>
      <c r="S47" s="119">
        <f t="shared" si="12"/>
        <v>-1032.6209323579017</v>
      </c>
      <c r="T47" s="119">
        <f t="shared" si="12"/>
        <v>-782.6209323579017</v>
      </c>
      <c r="U47" s="119">
        <f t="shared" si="12"/>
        <v>-532.6209323579017</v>
      </c>
      <c r="V47" s="119">
        <f t="shared" si="12"/>
        <v>-282.62093235790167</v>
      </c>
      <c r="W47" s="119">
        <f t="shared" si="12"/>
        <v>-32.620932357901665</v>
      </c>
      <c r="X47" s="119">
        <f t="shared" si="12"/>
        <v>217.37906764209833</v>
      </c>
      <c r="Y47" s="119">
        <f t="shared" si="12"/>
        <v>467.37906764209833</v>
      </c>
      <c r="Z47" s="119">
        <f t="shared" si="12"/>
        <v>717.3790676420983</v>
      </c>
    </row>
    <row r="48" spans="1:26" ht="13.5" customHeight="1" thickBot="1">
      <c r="A48" s="116"/>
      <c r="B48" s="117"/>
      <c r="C48" s="99"/>
      <c r="D48" s="200"/>
      <c r="E48" s="128">
        <f>B47</f>
        <v>4.5</v>
      </c>
      <c r="F48" s="119">
        <f t="shared" si="10"/>
        <v>-1605.0959121236442</v>
      </c>
      <c r="G48" s="119">
        <f t="shared" si="10"/>
        <v>-1355.0959121236442</v>
      </c>
      <c r="H48" s="119">
        <f t="shared" si="10"/>
        <v>-1105.0959121236442</v>
      </c>
      <c r="I48" s="119">
        <f>I$32-($B$45/$E48)</f>
        <v>-855.0959121236442</v>
      </c>
      <c r="J48" s="119">
        <f>J$32-($B$45/$E48)</f>
        <v>-605.0959121236442</v>
      </c>
      <c r="K48" s="119">
        <f t="shared" si="10"/>
        <v>-355.0959121236442</v>
      </c>
      <c r="L48" s="119">
        <f t="shared" si="10"/>
        <v>-105.09591212364421</v>
      </c>
      <c r="M48" s="119">
        <f t="shared" si="10"/>
        <v>144.9040878763558</v>
      </c>
      <c r="N48" s="119">
        <f t="shared" si="10"/>
        <v>394.9040878763558</v>
      </c>
      <c r="P48" s="200"/>
      <c r="Q48" s="128">
        <f>E48</f>
        <v>4.5</v>
      </c>
      <c r="R48" s="119">
        <f t="shared" si="12"/>
        <v>-1059.107495429246</v>
      </c>
      <c r="S48" s="119">
        <f t="shared" si="12"/>
        <v>-809.107495429246</v>
      </c>
      <c r="T48" s="119">
        <f t="shared" si="12"/>
        <v>-559.107495429246</v>
      </c>
      <c r="U48" s="119">
        <f t="shared" si="12"/>
        <v>-309.107495429246</v>
      </c>
      <c r="V48" s="119">
        <f t="shared" si="12"/>
        <v>-59.107495429246</v>
      </c>
      <c r="W48" s="119">
        <f t="shared" si="12"/>
        <v>190.892504570754</v>
      </c>
      <c r="X48" s="119">
        <f t="shared" si="12"/>
        <v>440.892504570754</v>
      </c>
      <c r="Y48" s="119">
        <f t="shared" si="12"/>
        <v>690.892504570754</v>
      </c>
      <c r="Z48" s="119">
        <f t="shared" si="12"/>
        <v>940.892504570754</v>
      </c>
    </row>
    <row r="49" spans="1:26" ht="13.5" customHeight="1" thickBot="1">
      <c r="A49" s="129" t="s">
        <v>60</v>
      </c>
      <c r="B49" s="130">
        <f>B4</f>
        <v>2000</v>
      </c>
      <c r="C49" s="99"/>
      <c r="D49" s="200"/>
      <c r="E49" s="118">
        <f>E48+0.5</f>
        <v>5</v>
      </c>
      <c r="F49" s="119">
        <f t="shared" si="10"/>
        <v>-1371.6863209112798</v>
      </c>
      <c r="G49" s="119">
        <f t="shared" si="10"/>
        <v>-1121.6863209112798</v>
      </c>
      <c r="H49" s="119">
        <f t="shared" si="10"/>
        <v>-871.6863209112798</v>
      </c>
      <c r="I49" s="119">
        <f t="shared" si="10"/>
        <v>-621.6863209112798</v>
      </c>
      <c r="J49" s="119">
        <f t="shared" si="10"/>
        <v>-371.68632091127984</v>
      </c>
      <c r="K49" s="119">
        <f t="shared" si="10"/>
        <v>-121.68632091127984</v>
      </c>
      <c r="L49" s="119">
        <f t="shared" si="10"/>
        <v>128.31367908872016</v>
      </c>
      <c r="M49" s="119">
        <f t="shared" si="10"/>
        <v>378.31367908872016</v>
      </c>
      <c r="N49" s="119">
        <f t="shared" si="10"/>
        <v>628.3136790887202</v>
      </c>
      <c r="P49" s="200"/>
      <c r="Q49" s="118">
        <f>Q48+0.5</f>
        <v>5</v>
      </c>
      <c r="R49" s="119">
        <f t="shared" si="12"/>
        <v>-880.2967458863213</v>
      </c>
      <c r="S49" s="119">
        <f t="shared" si="12"/>
        <v>-630.2967458863213</v>
      </c>
      <c r="T49" s="119">
        <f t="shared" si="12"/>
        <v>-380.29674588632133</v>
      </c>
      <c r="U49" s="119">
        <f t="shared" si="12"/>
        <v>-130.29674588632133</v>
      </c>
      <c r="V49" s="119">
        <f t="shared" si="12"/>
        <v>119.70325411367867</v>
      </c>
      <c r="W49" s="119">
        <f t="shared" si="12"/>
        <v>369.70325411367867</v>
      </c>
      <c r="X49" s="119">
        <f t="shared" si="12"/>
        <v>619.7032541136787</v>
      </c>
      <c r="Y49" s="119">
        <f t="shared" si="12"/>
        <v>869.7032541136787</v>
      </c>
      <c r="Z49" s="119">
        <f t="shared" si="12"/>
        <v>1119.7032541136787</v>
      </c>
    </row>
    <row r="50" spans="1:26" ht="13.5" customHeight="1" thickBot="1">
      <c r="A50" s="131" t="s">
        <v>61</v>
      </c>
      <c r="B50" s="130">
        <f>D4</f>
        <v>271</v>
      </c>
      <c r="C50" s="99"/>
      <c r="D50" s="201"/>
      <c r="E50" s="118">
        <f>E49+0.5</f>
        <v>5.5</v>
      </c>
      <c r="F50" s="119">
        <f>F$32-($B$45/$E50)</f>
        <v>-1180.7148371920725</v>
      </c>
      <c r="G50" s="119">
        <f t="shared" si="10"/>
        <v>-930.7148371920725</v>
      </c>
      <c r="H50" s="119">
        <f t="shared" si="10"/>
        <v>-680.7148371920725</v>
      </c>
      <c r="I50" s="119">
        <f t="shared" si="10"/>
        <v>-430.71483719207254</v>
      </c>
      <c r="J50" s="119">
        <f t="shared" si="10"/>
        <v>-180.71483719207254</v>
      </c>
      <c r="K50" s="119">
        <f t="shared" si="10"/>
        <v>69.28516280792746</v>
      </c>
      <c r="L50" s="119">
        <f t="shared" si="10"/>
        <v>319.28516280792746</v>
      </c>
      <c r="M50" s="119">
        <f t="shared" si="10"/>
        <v>569.2851628079275</v>
      </c>
      <c r="N50" s="119">
        <f>N$32-($B$45/$E50)</f>
        <v>819.2851628079275</v>
      </c>
      <c r="P50" s="201"/>
      <c r="Q50" s="118">
        <f>Q49+0.5</f>
        <v>5.5</v>
      </c>
      <c r="R50" s="119">
        <f t="shared" si="12"/>
        <v>-733.9970417148377</v>
      </c>
      <c r="S50" s="119">
        <f t="shared" si="12"/>
        <v>-483.9970417148377</v>
      </c>
      <c r="T50" s="119">
        <f t="shared" si="12"/>
        <v>-233.99704171483768</v>
      </c>
      <c r="U50" s="119">
        <f t="shared" si="12"/>
        <v>16.00295828516232</v>
      </c>
      <c r="V50" s="119">
        <f t="shared" si="12"/>
        <v>266.0029582851623</v>
      </c>
      <c r="W50" s="119">
        <f t="shared" si="12"/>
        <v>516.0029582851623</v>
      </c>
      <c r="X50" s="119">
        <f t="shared" si="12"/>
        <v>766.0029582851623</v>
      </c>
      <c r="Y50" s="119">
        <f t="shared" si="12"/>
        <v>1016.0029582851623</v>
      </c>
      <c r="Z50" s="119">
        <f t="shared" si="12"/>
        <v>1266.0029582851623</v>
      </c>
    </row>
    <row r="51" spans="1:24" ht="13.5" customHeight="1" thickBot="1">
      <c r="A51" s="136" t="s">
        <v>62</v>
      </c>
      <c r="B51" s="137">
        <f>B49-B50</f>
        <v>1729</v>
      </c>
      <c r="C51" s="99"/>
      <c r="D51" s="138"/>
      <c r="E51" s="139"/>
      <c r="F51" s="140"/>
      <c r="G51" s="140"/>
      <c r="H51" s="140"/>
      <c r="I51" s="140"/>
      <c r="J51" s="140"/>
      <c r="K51" s="140"/>
      <c r="L51" s="140"/>
      <c r="P51" s="138"/>
      <c r="Q51" s="139"/>
      <c r="R51" s="140"/>
      <c r="S51" s="140"/>
      <c r="T51" s="140"/>
      <c r="U51" s="140"/>
      <c r="V51" s="140"/>
      <c r="W51" s="140"/>
      <c r="X51" s="140"/>
    </row>
    <row r="52" spans="1:24" s="94" customFormat="1" ht="13.5" customHeight="1">
      <c r="A52" s="141"/>
      <c r="B52" s="142"/>
      <c r="C52" s="143"/>
      <c r="D52" s="144"/>
      <c r="E52" s="145"/>
      <c r="F52" s="140"/>
      <c r="G52" s="140"/>
      <c r="H52" s="140"/>
      <c r="I52" s="140"/>
      <c r="J52" s="140"/>
      <c r="K52" s="140"/>
      <c r="L52" s="140"/>
      <c r="P52" s="144"/>
      <c r="Q52" s="145"/>
      <c r="R52" s="140"/>
      <c r="S52" s="140"/>
      <c r="T52" s="140"/>
      <c r="U52" s="140"/>
      <c r="V52" s="140"/>
      <c r="W52" s="140"/>
      <c r="X52" s="140"/>
    </row>
    <row r="53" spans="1:24" s="94" customFormat="1" ht="13.5" customHeight="1">
      <c r="A53" s="141"/>
      <c r="B53" s="142"/>
      <c r="C53" s="143"/>
      <c r="D53" s="144"/>
      <c r="E53" s="145"/>
      <c r="F53" s="140"/>
      <c r="G53" s="140"/>
      <c r="H53" s="140"/>
      <c r="I53" s="140"/>
      <c r="J53" s="140"/>
      <c r="K53" s="140"/>
      <c r="L53" s="140"/>
      <c r="P53" s="144"/>
      <c r="Q53" s="145"/>
      <c r="R53" s="140"/>
      <c r="S53" s="140"/>
      <c r="T53" s="140"/>
      <c r="U53" s="140"/>
      <c r="V53" s="140"/>
      <c r="W53" s="140"/>
      <c r="X53" s="140"/>
    </row>
    <row r="54" spans="1:14" s="92" customFormat="1" ht="29.25" customHeight="1" thickBot="1">
      <c r="A54" s="198" t="s">
        <v>87</v>
      </c>
      <c r="B54" s="198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26" ht="20.25" customHeight="1" thickBot="1">
      <c r="A55" s="96" t="s">
        <v>109</v>
      </c>
      <c r="B55" s="162"/>
      <c r="C55" s="97"/>
      <c r="D55" s="202" t="s">
        <v>50</v>
      </c>
      <c r="E55" s="203"/>
      <c r="F55" s="203"/>
      <c r="G55" s="203"/>
      <c r="H55" s="203"/>
      <c r="I55" s="203"/>
      <c r="J55" s="203"/>
      <c r="K55" s="203"/>
      <c r="L55" s="203"/>
      <c r="M55" s="203"/>
      <c r="N55" s="204"/>
      <c r="P55" s="202" t="s">
        <v>51</v>
      </c>
      <c r="Q55" s="203"/>
      <c r="R55" s="203"/>
      <c r="S55" s="203"/>
      <c r="T55" s="203"/>
      <c r="U55" s="203"/>
      <c r="V55" s="203"/>
      <c r="W55" s="203"/>
      <c r="X55" s="203"/>
      <c r="Y55" s="203"/>
      <c r="Z55" s="204"/>
    </row>
    <row r="56" spans="1:26" ht="13.5" customHeight="1" thickBot="1">
      <c r="A56" s="98" t="s">
        <v>52</v>
      </c>
      <c r="B56" s="189">
        <f>INDEX('Verminbe Stapelgeen mielie -5jr'!M9:O14,MATCH($B$60,Verminopbrengspeil,0),2)</f>
        <v>6907.9374202815</v>
      </c>
      <c r="C56" s="99"/>
      <c r="D56" s="100"/>
      <c r="E56" s="101"/>
      <c r="F56" s="102"/>
      <c r="G56" s="103"/>
      <c r="H56" s="102"/>
      <c r="I56" s="102"/>
      <c r="J56" s="102" t="s">
        <v>53</v>
      </c>
      <c r="K56" s="104"/>
      <c r="L56" s="102"/>
      <c r="M56" s="104"/>
      <c r="N56" s="102"/>
      <c r="P56" s="100"/>
      <c r="Q56" s="101"/>
      <c r="R56" s="102"/>
      <c r="S56" s="103"/>
      <c r="T56" s="102"/>
      <c r="U56" s="102"/>
      <c r="V56" s="102" t="s">
        <v>53</v>
      </c>
      <c r="W56" s="104"/>
      <c r="X56" s="102"/>
      <c r="Y56" s="104"/>
      <c r="Z56" s="102"/>
    </row>
    <row r="57" spans="1:26" ht="13.5" customHeight="1" thickBot="1">
      <c r="A57" s="105" t="s">
        <v>54</v>
      </c>
      <c r="B57" s="189">
        <f>INDEX('Verminbe Stapelgeen mielie -5jr'!M9:O14,MATCH($B$60,Verminopbrengspeil,0),3)</f>
        <v>1387.329231766467</v>
      </c>
      <c r="C57" s="99"/>
      <c r="D57" s="202" t="s">
        <v>55</v>
      </c>
      <c r="E57" s="204"/>
      <c r="F57" s="106">
        <f>G57-250</f>
        <v>1000</v>
      </c>
      <c r="G57" s="106">
        <f>H57-250</f>
        <v>1250</v>
      </c>
      <c r="H57" s="106">
        <f>I57-250</f>
        <v>1500</v>
      </c>
      <c r="I57" s="106">
        <f>J57-250</f>
        <v>1750</v>
      </c>
      <c r="J57" s="107">
        <f>B62</f>
        <v>2000</v>
      </c>
      <c r="K57" s="106">
        <f>J57+250</f>
        <v>2250</v>
      </c>
      <c r="L57" s="106">
        <f>K57+250</f>
        <v>2500</v>
      </c>
      <c r="M57" s="106">
        <f>L57+250</f>
        <v>2750</v>
      </c>
      <c r="N57" s="106">
        <f>M57+250</f>
        <v>3000</v>
      </c>
      <c r="P57" s="202" t="s">
        <v>55</v>
      </c>
      <c r="Q57" s="204"/>
      <c r="R57" s="108">
        <f>S57-250</f>
        <v>1000</v>
      </c>
      <c r="S57" s="108">
        <f>T57-250</f>
        <v>1250</v>
      </c>
      <c r="T57" s="108">
        <f>U57-250</f>
        <v>1500</v>
      </c>
      <c r="U57" s="108">
        <f>V57-250</f>
        <v>1750</v>
      </c>
      <c r="V57" s="109">
        <f>J57</f>
        <v>2000</v>
      </c>
      <c r="W57" s="108">
        <f>V57+250</f>
        <v>2250</v>
      </c>
      <c r="X57" s="108">
        <f>W57+250</f>
        <v>2500</v>
      </c>
      <c r="Y57" s="108">
        <f>X57+250</f>
        <v>2750</v>
      </c>
      <c r="Z57" s="108">
        <f>Y57+250</f>
        <v>3000</v>
      </c>
    </row>
    <row r="58" spans="1:26" ht="13.5" customHeight="1" thickBot="1">
      <c r="A58" s="110" t="s">
        <v>56</v>
      </c>
      <c r="B58" s="111">
        <f>B57+B56</f>
        <v>8295.266652047967</v>
      </c>
      <c r="C58" s="112"/>
      <c r="D58" s="205" t="s">
        <v>57</v>
      </c>
      <c r="E58" s="206"/>
      <c r="F58" s="113">
        <f aca="true" t="shared" si="13" ref="F58:N58">F57-$B$24</f>
        <v>729</v>
      </c>
      <c r="G58" s="113">
        <f t="shared" si="13"/>
        <v>979</v>
      </c>
      <c r="H58" s="113">
        <f t="shared" si="13"/>
        <v>1229</v>
      </c>
      <c r="I58" s="113">
        <f t="shared" si="13"/>
        <v>1479</v>
      </c>
      <c r="J58" s="114">
        <f>J57-$B$24</f>
        <v>1729</v>
      </c>
      <c r="K58" s="113">
        <f t="shared" si="13"/>
        <v>1979</v>
      </c>
      <c r="L58" s="113">
        <f t="shared" si="13"/>
        <v>2229</v>
      </c>
      <c r="M58" s="113">
        <f t="shared" si="13"/>
        <v>2479</v>
      </c>
      <c r="N58" s="113">
        <f t="shared" si="13"/>
        <v>2729</v>
      </c>
      <c r="P58" s="205" t="s">
        <v>57</v>
      </c>
      <c r="Q58" s="206"/>
      <c r="R58" s="113">
        <f aca="true" t="shared" si="14" ref="R58:Z58">R57-$B$24</f>
        <v>729</v>
      </c>
      <c r="S58" s="113">
        <f t="shared" si="14"/>
        <v>979</v>
      </c>
      <c r="T58" s="113">
        <f t="shared" si="14"/>
        <v>1229</v>
      </c>
      <c r="U58" s="113">
        <f t="shared" si="14"/>
        <v>1479</v>
      </c>
      <c r="V58" s="115">
        <f t="shared" si="14"/>
        <v>1729</v>
      </c>
      <c r="W58" s="113">
        <f t="shared" si="14"/>
        <v>1979</v>
      </c>
      <c r="X58" s="113">
        <f t="shared" si="14"/>
        <v>2229</v>
      </c>
      <c r="Y58" s="113">
        <f t="shared" si="14"/>
        <v>2479</v>
      </c>
      <c r="Z58" s="113">
        <f t="shared" si="14"/>
        <v>2729</v>
      </c>
    </row>
    <row r="59" spans="1:26" ht="13.5" customHeight="1" thickBot="1">
      <c r="A59" s="116"/>
      <c r="B59" s="117"/>
      <c r="C59" s="99"/>
      <c r="D59" s="199" t="s">
        <v>58</v>
      </c>
      <c r="E59" s="118">
        <f>E60-0.5</f>
        <v>3.5</v>
      </c>
      <c r="F59" s="119">
        <f>F$19-($B$58/$E59)</f>
        <v>-1641.076186299419</v>
      </c>
      <c r="G59" s="119">
        <f aca="true" t="shared" si="15" ref="G59:N63">G$19-($B$58/$E59)</f>
        <v>-1391.076186299419</v>
      </c>
      <c r="H59" s="119">
        <f t="shared" si="15"/>
        <v>-1141.076186299419</v>
      </c>
      <c r="I59" s="119">
        <f t="shared" si="15"/>
        <v>-891.0761862994191</v>
      </c>
      <c r="J59" s="119">
        <f t="shared" si="15"/>
        <v>-641.0761862994191</v>
      </c>
      <c r="K59" s="119">
        <f t="shared" si="15"/>
        <v>-391.0761862994191</v>
      </c>
      <c r="L59" s="119">
        <f t="shared" si="15"/>
        <v>-141.07618629941908</v>
      </c>
      <c r="M59" s="119">
        <f t="shared" si="15"/>
        <v>108.92381370058092</v>
      </c>
      <c r="N59" s="119">
        <f t="shared" si="15"/>
        <v>358.9238137005809</v>
      </c>
      <c r="P59" s="199" t="s">
        <v>58</v>
      </c>
      <c r="Q59" s="118">
        <f>Q60-0.5</f>
        <v>3.5</v>
      </c>
      <c r="R59" s="119">
        <f>R$19-($B$56/$E59)</f>
        <v>-1244.696405794714</v>
      </c>
      <c r="S59" s="119">
        <f aca="true" t="shared" si="16" ref="S59:Z63">S$19-($B$56/$E59)</f>
        <v>-994.6964057947141</v>
      </c>
      <c r="T59" s="119">
        <f t="shared" si="16"/>
        <v>-744.6964057947141</v>
      </c>
      <c r="U59" s="119">
        <f t="shared" si="16"/>
        <v>-494.6964057947141</v>
      </c>
      <c r="V59" s="119">
        <f t="shared" si="16"/>
        <v>-244.6964057947141</v>
      </c>
      <c r="W59" s="119">
        <f t="shared" si="16"/>
        <v>5.30359420528589</v>
      </c>
      <c r="X59" s="119">
        <f t="shared" si="16"/>
        <v>255.3035942052859</v>
      </c>
      <c r="Y59" s="119">
        <f t="shared" si="16"/>
        <v>505.3035942052859</v>
      </c>
      <c r="Z59" s="119">
        <f t="shared" si="16"/>
        <v>755.3035942052859</v>
      </c>
    </row>
    <row r="60" spans="1:26" ht="13.5" customHeight="1" thickBot="1">
      <c r="A60" s="123" t="s">
        <v>59</v>
      </c>
      <c r="B60" s="193">
        <v>4.5</v>
      </c>
      <c r="C60" s="99"/>
      <c r="D60" s="200"/>
      <c r="E60" s="118">
        <f>E61-0.5</f>
        <v>4</v>
      </c>
      <c r="F60" s="119">
        <f>F$19-($B$58/$E60)</f>
        <v>-1344.8166630119917</v>
      </c>
      <c r="G60" s="119">
        <f t="shared" si="15"/>
        <v>-1094.8166630119917</v>
      </c>
      <c r="H60" s="119">
        <f t="shared" si="15"/>
        <v>-844.8166630119917</v>
      </c>
      <c r="I60" s="119">
        <f t="shared" si="15"/>
        <v>-594.8166630119917</v>
      </c>
      <c r="J60" s="119">
        <f t="shared" si="15"/>
        <v>-344.81666301199175</v>
      </c>
      <c r="K60" s="119">
        <f t="shared" si="15"/>
        <v>-94.81666301199175</v>
      </c>
      <c r="L60" s="119">
        <f t="shared" si="15"/>
        <v>155.18333698800825</v>
      </c>
      <c r="M60" s="119">
        <f t="shared" si="15"/>
        <v>405.18333698800825</v>
      </c>
      <c r="N60" s="119">
        <f t="shared" si="15"/>
        <v>655.1833369880083</v>
      </c>
      <c r="P60" s="200"/>
      <c r="Q60" s="118">
        <f>Q61-0.5</f>
        <v>4</v>
      </c>
      <c r="R60" s="119">
        <f>R$19-($B$56/$E60)</f>
        <v>-997.9843550703749</v>
      </c>
      <c r="S60" s="119">
        <f t="shared" si="16"/>
        <v>-747.9843550703749</v>
      </c>
      <c r="T60" s="119">
        <f t="shared" si="16"/>
        <v>-497.98435507037493</v>
      </c>
      <c r="U60" s="119">
        <f t="shared" si="16"/>
        <v>-247.98435507037493</v>
      </c>
      <c r="V60" s="119">
        <f t="shared" si="16"/>
        <v>2.0156449296250685</v>
      </c>
      <c r="W60" s="119">
        <f t="shared" si="16"/>
        <v>252.01564492962507</v>
      </c>
      <c r="X60" s="119">
        <f t="shared" si="16"/>
        <v>502.01564492962507</v>
      </c>
      <c r="Y60" s="119">
        <f t="shared" si="16"/>
        <v>752.0156449296251</v>
      </c>
      <c r="Z60" s="119">
        <f t="shared" si="16"/>
        <v>1002.0156449296251</v>
      </c>
    </row>
    <row r="61" spans="1:26" ht="13.5" customHeight="1" thickBot="1">
      <c r="A61" s="116"/>
      <c r="B61" s="117"/>
      <c r="C61" s="99"/>
      <c r="D61" s="200"/>
      <c r="E61" s="128">
        <f>B60</f>
        <v>4.5</v>
      </c>
      <c r="F61" s="119">
        <f>F$19-($B$58/$E61)</f>
        <v>-1114.3925893439928</v>
      </c>
      <c r="G61" s="119">
        <f t="shared" si="15"/>
        <v>-864.3925893439928</v>
      </c>
      <c r="H61" s="119">
        <f t="shared" si="15"/>
        <v>-614.3925893439928</v>
      </c>
      <c r="I61" s="119">
        <f>I$19-($B$58/$E61)</f>
        <v>-364.39258934399277</v>
      </c>
      <c r="J61" s="119">
        <f>J$19-($B$58/$E61)</f>
        <v>-114.39258934399277</v>
      </c>
      <c r="K61" s="119">
        <f t="shared" si="15"/>
        <v>135.60741065600723</v>
      </c>
      <c r="L61" s="119">
        <f t="shared" si="15"/>
        <v>385.60741065600723</v>
      </c>
      <c r="M61" s="119">
        <f t="shared" si="15"/>
        <v>635.6074106560072</v>
      </c>
      <c r="N61" s="119">
        <f t="shared" si="15"/>
        <v>885.6074106560072</v>
      </c>
      <c r="P61" s="200"/>
      <c r="Q61" s="128">
        <f>E61</f>
        <v>4.5</v>
      </c>
      <c r="R61" s="119">
        <f>R$19-($B$56/$E61)</f>
        <v>-806.097204507</v>
      </c>
      <c r="S61" s="119">
        <f t="shared" si="16"/>
        <v>-556.097204507</v>
      </c>
      <c r="T61" s="119">
        <f t="shared" si="16"/>
        <v>-306.097204507</v>
      </c>
      <c r="U61" s="119">
        <f t="shared" si="16"/>
        <v>-56.097204507000015</v>
      </c>
      <c r="V61" s="119">
        <f t="shared" si="16"/>
        <v>193.90279549299999</v>
      </c>
      <c r="W61" s="119">
        <f t="shared" si="16"/>
        <v>443.902795493</v>
      </c>
      <c r="X61" s="119">
        <f t="shared" si="16"/>
        <v>693.902795493</v>
      </c>
      <c r="Y61" s="119">
        <f t="shared" si="16"/>
        <v>943.902795493</v>
      </c>
      <c r="Z61" s="119">
        <f t="shared" si="16"/>
        <v>1193.902795493</v>
      </c>
    </row>
    <row r="62" spans="1:26" ht="13.5" customHeight="1" thickBot="1">
      <c r="A62" s="129" t="s">
        <v>60</v>
      </c>
      <c r="B62" s="130">
        <f>B4</f>
        <v>2000</v>
      </c>
      <c r="C62" s="99"/>
      <c r="D62" s="200"/>
      <c r="E62" s="118">
        <f>E61+0.5</f>
        <v>5</v>
      </c>
      <c r="F62" s="119">
        <f>F$19-($B$58/$E62)</f>
        <v>-930.0533304095934</v>
      </c>
      <c r="G62" s="119">
        <f t="shared" si="15"/>
        <v>-680.0533304095934</v>
      </c>
      <c r="H62" s="119">
        <f t="shared" si="15"/>
        <v>-430.0533304095934</v>
      </c>
      <c r="I62" s="119">
        <f t="shared" si="15"/>
        <v>-180.0533304095934</v>
      </c>
      <c r="J62" s="119">
        <f t="shared" si="15"/>
        <v>69.9466695904066</v>
      </c>
      <c r="K62" s="119">
        <f t="shared" si="15"/>
        <v>319.9466695904066</v>
      </c>
      <c r="L62" s="119">
        <f t="shared" si="15"/>
        <v>569.9466695904066</v>
      </c>
      <c r="M62" s="119">
        <f t="shared" si="15"/>
        <v>819.9466695904066</v>
      </c>
      <c r="N62" s="119">
        <f t="shared" si="15"/>
        <v>1069.9466695904066</v>
      </c>
      <c r="P62" s="200"/>
      <c r="Q62" s="118">
        <f>Q61+0.5</f>
        <v>5</v>
      </c>
      <c r="R62" s="119">
        <f>R$19-($B$56/$E62)</f>
        <v>-652.5874840562999</v>
      </c>
      <c r="S62" s="119">
        <f t="shared" si="16"/>
        <v>-402.5874840562999</v>
      </c>
      <c r="T62" s="119">
        <f t="shared" si="16"/>
        <v>-152.5874840562999</v>
      </c>
      <c r="U62" s="119">
        <f>U$19-($B$56/$E62)</f>
        <v>97.4125159437001</v>
      </c>
      <c r="V62" s="119">
        <f t="shared" si="16"/>
        <v>347.4125159437001</v>
      </c>
      <c r="W62" s="119">
        <f t="shared" si="16"/>
        <v>597.4125159437001</v>
      </c>
      <c r="X62" s="119">
        <f t="shared" si="16"/>
        <v>847.4125159437001</v>
      </c>
      <c r="Y62" s="119">
        <f t="shared" si="16"/>
        <v>1097.4125159437</v>
      </c>
      <c r="Z62" s="119">
        <f t="shared" si="16"/>
        <v>1347.4125159437</v>
      </c>
    </row>
    <row r="63" spans="1:26" ht="13.5" customHeight="1" thickBot="1">
      <c r="A63" s="131" t="s">
        <v>61</v>
      </c>
      <c r="B63" s="130">
        <f>D4</f>
        <v>271</v>
      </c>
      <c r="C63" s="99"/>
      <c r="D63" s="201"/>
      <c r="E63" s="118">
        <f>E62+0.5</f>
        <v>5.5</v>
      </c>
      <c r="F63" s="119">
        <f>F$19-($B$58/$E63)</f>
        <v>-779.2303003723575</v>
      </c>
      <c r="G63" s="119">
        <f t="shared" si="15"/>
        <v>-529.2303003723575</v>
      </c>
      <c r="H63" s="119">
        <f t="shared" si="15"/>
        <v>-279.23030037235753</v>
      </c>
      <c r="I63" s="119">
        <f t="shared" si="15"/>
        <v>-29.230300372357533</v>
      </c>
      <c r="J63" s="119">
        <f t="shared" si="15"/>
        <v>220.76969962764247</v>
      </c>
      <c r="K63" s="119">
        <f t="shared" si="15"/>
        <v>470.76969962764247</v>
      </c>
      <c r="L63" s="119">
        <f t="shared" si="15"/>
        <v>720.7696996276425</v>
      </c>
      <c r="M63" s="119">
        <f t="shared" si="15"/>
        <v>970.7696996276425</v>
      </c>
      <c r="N63" s="119">
        <f>N$19-($B$58/$E63)</f>
        <v>1220.7696996276425</v>
      </c>
      <c r="P63" s="201"/>
      <c r="Q63" s="118">
        <f>Q62+0.5</f>
        <v>5.5</v>
      </c>
      <c r="R63" s="119">
        <f>R$19-($B$56/$E63)</f>
        <v>-526.9886218693637</v>
      </c>
      <c r="S63" s="119">
        <f t="shared" si="16"/>
        <v>-276.98862186936367</v>
      </c>
      <c r="T63" s="119">
        <f t="shared" si="16"/>
        <v>-26.98862186936367</v>
      </c>
      <c r="U63" s="119">
        <f t="shared" si="16"/>
        <v>223.01137813063633</v>
      </c>
      <c r="V63" s="119">
        <f t="shared" si="16"/>
        <v>473.01137813063633</v>
      </c>
      <c r="W63" s="119">
        <f t="shared" si="16"/>
        <v>723.0113781306363</v>
      </c>
      <c r="X63" s="119">
        <f t="shared" si="16"/>
        <v>973.0113781306363</v>
      </c>
      <c r="Y63" s="119">
        <f t="shared" si="16"/>
        <v>1223.0113781306363</v>
      </c>
      <c r="Z63" s="119">
        <f t="shared" si="16"/>
        <v>1473.0113781306363</v>
      </c>
    </row>
    <row r="64" spans="1:24" ht="13.5" customHeight="1" thickBot="1">
      <c r="A64" s="136" t="s">
        <v>62</v>
      </c>
      <c r="B64" s="137">
        <f>B62-B63</f>
        <v>1729</v>
      </c>
      <c r="C64" s="99"/>
      <c r="D64" s="138"/>
      <c r="E64" s="139"/>
      <c r="F64" s="140"/>
      <c r="G64" s="140"/>
      <c r="H64" s="140"/>
      <c r="I64" s="140"/>
      <c r="J64" s="140"/>
      <c r="K64" s="140"/>
      <c r="L64" s="140"/>
      <c r="P64" s="138"/>
      <c r="Q64" s="139"/>
      <c r="R64" s="140"/>
      <c r="S64" s="140"/>
      <c r="T64" s="140"/>
      <c r="U64" s="140"/>
      <c r="V64" s="140"/>
      <c r="W64" s="140"/>
      <c r="X64" s="140"/>
    </row>
    <row r="65" spans="1:24" s="94" customFormat="1" ht="13.5" customHeight="1">
      <c r="A65" s="141"/>
      <c r="B65" s="142"/>
      <c r="C65" s="143"/>
      <c r="D65" s="144"/>
      <c r="E65" s="145"/>
      <c r="F65" s="140"/>
      <c r="G65" s="140"/>
      <c r="H65" s="140"/>
      <c r="I65" s="140"/>
      <c r="J65" s="140"/>
      <c r="K65" s="140"/>
      <c r="L65" s="140"/>
      <c r="P65" s="144"/>
      <c r="Q65" s="145"/>
      <c r="R65" s="140"/>
      <c r="S65" s="140"/>
      <c r="T65" s="140"/>
      <c r="U65" s="140"/>
      <c r="V65" s="140"/>
      <c r="W65" s="140"/>
      <c r="X65" s="140"/>
    </row>
    <row r="66" spans="1:24" s="94" customFormat="1" ht="13.5" customHeight="1">
      <c r="A66" s="141"/>
      <c r="B66" s="142"/>
      <c r="C66" s="143"/>
      <c r="D66" s="144"/>
      <c r="E66" s="145"/>
      <c r="F66" s="140"/>
      <c r="G66" s="140"/>
      <c r="H66" s="140"/>
      <c r="I66" s="140"/>
      <c r="J66" s="140"/>
      <c r="K66" s="140"/>
      <c r="L66" s="140"/>
      <c r="P66" s="144"/>
      <c r="Q66" s="145"/>
      <c r="R66" s="140"/>
      <c r="S66" s="140"/>
      <c r="T66" s="140"/>
      <c r="U66" s="140"/>
      <c r="V66" s="140"/>
      <c r="W66" s="140"/>
      <c r="X66" s="140"/>
    </row>
    <row r="67" spans="1:24" ht="13.5" customHeight="1" thickBot="1">
      <c r="A67" s="198" t="s">
        <v>89</v>
      </c>
      <c r="B67" s="198"/>
      <c r="D67" s="138"/>
      <c r="E67" s="139"/>
      <c r="F67" s="140"/>
      <c r="G67" s="140"/>
      <c r="H67" s="140"/>
      <c r="I67" s="140"/>
      <c r="J67" s="140"/>
      <c r="K67" s="140"/>
      <c r="L67" s="140"/>
      <c r="P67" s="138"/>
      <c r="Q67" s="139"/>
      <c r="R67" s="140"/>
      <c r="S67" s="140"/>
      <c r="T67" s="140"/>
      <c r="U67" s="140"/>
      <c r="V67" s="140"/>
      <c r="W67" s="140"/>
      <c r="X67" s="140"/>
    </row>
    <row r="68" spans="1:26" ht="18.75" customHeight="1" thickBot="1">
      <c r="A68" s="96" t="s">
        <v>110</v>
      </c>
      <c r="B68" s="162"/>
      <c r="C68" s="97"/>
      <c r="D68" s="202" t="s">
        <v>63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4"/>
      <c r="P68" s="202" t="s">
        <v>64</v>
      </c>
      <c r="Q68" s="203"/>
      <c r="R68" s="203"/>
      <c r="S68" s="203"/>
      <c r="T68" s="203"/>
      <c r="U68" s="203"/>
      <c r="V68" s="203"/>
      <c r="W68" s="203"/>
      <c r="X68" s="203"/>
      <c r="Y68" s="203"/>
      <c r="Z68" s="204"/>
    </row>
    <row r="69" spans="1:26" ht="13.5" customHeight="1" thickBot="1">
      <c r="A69" s="98" t="s">
        <v>52</v>
      </c>
      <c r="B69" s="189">
        <f>INDEX(Sonneblom!M9:O14,MATCH($B$73,Sonopbrengspeil,0),2)</f>
        <v>5508.0562966121815</v>
      </c>
      <c r="C69" s="99"/>
      <c r="D69" s="100"/>
      <c r="E69" s="101"/>
      <c r="F69" s="102"/>
      <c r="G69" s="103"/>
      <c r="H69" s="102"/>
      <c r="I69" s="102"/>
      <c r="J69" s="102" t="s">
        <v>53</v>
      </c>
      <c r="K69" s="104"/>
      <c r="L69" s="102"/>
      <c r="M69" s="104"/>
      <c r="N69" s="102"/>
      <c r="P69" s="100"/>
      <c r="Q69" s="101"/>
      <c r="R69" s="102"/>
      <c r="S69" s="103"/>
      <c r="T69" s="102"/>
      <c r="U69" s="102"/>
      <c r="V69" s="102" t="s">
        <v>53</v>
      </c>
      <c r="W69" s="104"/>
      <c r="X69" s="102"/>
      <c r="Y69" s="104"/>
      <c r="Z69" s="102"/>
    </row>
    <row r="70" spans="1:26" ht="13.5" customHeight="1" thickBot="1">
      <c r="A70" s="105" t="s">
        <v>54</v>
      </c>
      <c r="B70" s="189">
        <f>INDEX(Sonneblom!M9:O14,MATCH($B$73,Sonopbrengspeil,0),3)</f>
        <v>2356.392875124792</v>
      </c>
      <c r="C70" s="99"/>
      <c r="D70" s="202" t="s">
        <v>55</v>
      </c>
      <c r="E70" s="204"/>
      <c r="F70" s="146">
        <f>G70-200</f>
        <v>4100</v>
      </c>
      <c r="G70" s="146">
        <f>H70-200</f>
        <v>4300</v>
      </c>
      <c r="H70" s="146">
        <f>I70-200</f>
        <v>4500</v>
      </c>
      <c r="I70" s="147">
        <f>J70-200</f>
        <v>4700</v>
      </c>
      <c r="J70" s="148">
        <f>B75</f>
        <v>4900</v>
      </c>
      <c r="K70" s="147">
        <f>J70+200</f>
        <v>5100</v>
      </c>
      <c r="L70" s="147">
        <f>K70+200</f>
        <v>5300</v>
      </c>
      <c r="M70" s="147">
        <f>L70+200</f>
        <v>5500</v>
      </c>
      <c r="N70" s="147">
        <f>M70+200</f>
        <v>5700</v>
      </c>
      <c r="P70" s="202" t="s">
        <v>55</v>
      </c>
      <c r="Q70" s="204"/>
      <c r="R70" s="146">
        <f>S70-200</f>
        <v>4100</v>
      </c>
      <c r="S70" s="146">
        <f>T70-200</f>
        <v>4300</v>
      </c>
      <c r="T70" s="146">
        <f>U70-200</f>
        <v>4500</v>
      </c>
      <c r="U70" s="147">
        <f>V70-200</f>
        <v>4700</v>
      </c>
      <c r="V70" s="148">
        <f>J70</f>
        <v>4900</v>
      </c>
      <c r="W70" s="147">
        <f>V70+200</f>
        <v>5100</v>
      </c>
      <c r="X70" s="147">
        <f>W70+200</f>
        <v>5300</v>
      </c>
      <c r="Y70" s="147">
        <f>X70+200</f>
        <v>5500</v>
      </c>
      <c r="Z70" s="147">
        <f>Y70+200</f>
        <v>5700</v>
      </c>
    </row>
    <row r="71" spans="1:26" ht="13.5" customHeight="1" thickBot="1">
      <c r="A71" s="110" t="s">
        <v>56</v>
      </c>
      <c r="B71" s="111">
        <f>B70+B69</f>
        <v>7864.449171736974</v>
      </c>
      <c r="C71" s="112"/>
      <c r="D71" s="205" t="s">
        <v>57</v>
      </c>
      <c r="E71" s="206"/>
      <c r="F71" s="149">
        <f aca="true" t="shared" si="17" ref="F71:N71">F70-$B$76</f>
        <v>3788</v>
      </c>
      <c r="G71" s="149">
        <f t="shared" si="17"/>
        <v>3988</v>
      </c>
      <c r="H71" s="149">
        <f t="shared" si="17"/>
        <v>4188</v>
      </c>
      <c r="I71" s="149">
        <f t="shared" si="17"/>
        <v>4388</v>
      </c>
      <c r="J71" s="150">
        <f t="shared" si="17"/>
        <v>4588</v>
      </c>
      <c r="K71" s="149">
        <f t="shared" si="17"/>
        <v>4788</v>
      </c>
      <c r="L71" s="149">
        <f t="shared" si="17"/>
        <v>4988</v>
      </c>
      <c r="M71" s="149">
        <f t="shared" si="17"/>
        <v>5188</v>
      </c>
      <c r="N71" s="149">
        <f t="shared" si="17"/>
        <v>5388</v>
      </c>
      <c r="P71" s="205" t="s">
        <v>57</v>
      </c>
      <c r="Q71" s="206"/>
      <c r="R71" s="149">
        <f aca="true" t="shared" si="18" ref="R71:Z71">R70-$B$76</f>
        <v>3788</v>
      </c>
      <c r="S71" s="149">
        <f t="shared" si="18"/>
        <v>3988</v>
      </c>
      <c r="T71" s="149">
        <f t="shared" si="18"/>
        <v>4188</v>
      </c>
      <c r="U71" s="149">
        <f t="shared" si="18"/>
        <v>4388</v>
      </c>
      <c r="V71" s="150">
        <f t="shared" si="18"/>
        <v>4588</v>
      </c>
      <c r="W71" s="149">
        <f t="shared" si="18"/>
        <v>4788</v>
      </c>
      <c r="X71" s="149">
        <f t="shared" si="18"/>
        <v>4988</v>
      </c>
      <c r="Y71" s="149">
        <f t="shared" si="18"/>
        <v>5188</v>
      </c>
      <c r="Z71" s="149">
        <f t="shared" si="18"/>
        <v>5388</v>
      </c>
    </row>
    <row r="72" spans="1:26" ht="13.5" customHeight="1" thickBot="1">
      <c r="A72" s="116"/>
      <c r="B72" s="117"/>
      <c r="C72" s="99"/>
      <c r="D72" s="199" t="s">
        <v>58</v>
      </c>
      <c r="E72" s="118">
        <f>E73-0.25</f>
        <v>1</v>
      </c>
      <c r="F72" s="119">
        <f aca="true" t="shared" si="19" ref="F72:N76">F$71-($B$71/$E72)</f>
        <v>-4076.4491717369738</v>
      </c>
      <c r="G72" s="119">
        <f t="shared" si="19"/>
        <v>-3876.4491717369738</v>
      </c>
      <c r="H72" s="119">
        <f t="shared" si="19"/>
        <v>-3676.4491717369738</v>
      </c>
      <c r="I72" s="119">
        <f t="shared" si="19"/>
        <v>-3476.4491717369738</v>
      </c>
      <c r="J72" s="119">
        <f t="shared" si="19"/>
        <v>-3276.4491717369738</v>
      </c>
      <c r="K72" s="119">
        <f t="shared" si="19"/>
        <v>-3076.4491717369738</v>
      </c>
      <c r="L72" s="119">
        <f t="shared" si="19"/>
        <v>-2876.4491717369738</v>
      </c>
      <c r="M72" s="119">
        <f t="shared" si="19"/>
        <v>-2676.4491717369738</v>
      </c>
      <c r="N72" s="119">
        <f t="shared" si="19"/>
        <v>-2476.4491717369738</v>
      </c>
      <c r="P72" s="199" t="s">
        <v>58</v>
      </c>
      <c r="Q72" s="118">
        <f>Q73-0.25</f>
        <v>1</v>
      </c>
      <c r="R72" s="119">
        <f aca="true" t="shared" si="20" ref="R72:Z76">R$71-($B$69/$E72)</f>
        <v>-1720.0562966121815</v>
      </c>
      <c r="S72" s="119">
        <f t="shared" si="20"/>
        <v>-1520.0562966121815</v>
      </c>
      <c r="T72" s="119">
        <f t="shared" si="20"/>
        <v>-1320.0562966121815</v>
      </c>
      <c r="U72" s="119">
        <f t="shared" si="20"/>
        <v>-1120.0562966121815</v>
      </c>
      <c r="V72" s="119">
        <f t="shared" si="20"/>
        <v>-920.0562966121815</v>
      </c>
      <c r="W72" s="119">
        <f t="shared" si="20"/>
        <v>-720.0562966121815</v>
      </c>
      <c r="X72" s="119">
        <f t="shared" si="20"/>
        <v>-520.0562966121815</v>
      </c>
      <c r="Y72" s="119">
        <f t="shared" si="20"/>
        <v>-320.05629661218154</v>
      </c>
      <c r="Z72" s="119">
        <f t="shared" si="20"/>
        <v>-120.05629661218154</v>
      </c>
    </row>
    <row r="73" spans="1:26" ht="13.5" customHeight="1" thickBot="1">
      <c r="A73" s="123" t="s">
        <v>59</v>
      </c>
      <c r="B73" s="193">
        <f>Sonneblom!F5</f>
        <v>1.5</v>
      </c>
      <c r="C73" s="99"/>
      <c r="D73" s="200"/>
      <c r="E73" s="118">
        <f>E74-0.25</f>
        <v>1.25</v>
      </c>
      <c r="F73" s="119">
        <f t="shared" si="19"/>
        <v>-2503.559337389579</v>
      </c>
      <c r="G73" s="119">
        <f t="shared" si="19"/>
        <v>-2303.559337389579</v>
      </c>
      <c r="H73" s="119">
        <f t="shared" si="19"/>
        <v>-2103.559337389579</v>
      </c>
      <c r="I73" s="119">
        <f t="shared" si="19"/>
        <v>-1903.559337389579</v>
      </c>
      <c r="J73" s="119">
        <f t="shared" si="19"/>
        <v>-1703.559337389579</v>
      </c>
      <c r="K73" s="119">
        <f t="shared" si="19"/>
        <v>-1503.559337389579</v>
      </c>
      <c r="L73" s="119">
        <f t="shared" si="19"/>
        <v>-1303.559337389579</v>
      </c>
      <c r="M73" s="119">
        <f t="shared" si="19"/>
        <v>-1103.559337389579</v>
      </c>
      <c r="N73" s="119">
        <f t="shared" si="19"/>
        <v>-903.559337389579</v>
      </c>
      <c r="P73" s="200"/>
      <c r="Q73" s="118">
        <f>Q74-0.25</f>
        <v>1.25</v>
      </c>
      <c r="R73" s="119">
        <f t="shared" si="20"/>
        <v>-618.4450372897454</v>
      </c>
      <c r="S73" s="119">
        <f t="shared" si="20"/>
        <v>-418.4450372897454</v>
      </c>
      <c r="T73" s="119">
        <f t="shared" si="20"/>
        <v>-218.44503728974541</v>
      </c>
      <c r="U73" s="119">
        <f t="shared" si="20"/>
        <v>-18.445037289745414</v>
      </c>
      <c r="V73" s="119">
        <f t="shared" si="20"/>
        <v>181.55496271025459</v>
      </c>
      <c r="W73" s="119">
        <f t="shared" si="20"/>
        <v>381.5549627102546</v>
      </c>
      <c r="X73" s="119">
        <f t="shared" si="20"/>
        <v>581.5549627102546</v>
      </c>
      <c r="Y73" s="119">
        <f t="shared" si="20"/>
        <v>781.5549627102546</v>
      </c>
      <c r="Z73" s="119">
        <f t="shared" si="20"/>
        <v>981.5549627102546</v>
      </c>
    </row>
    <row r="74" spans="1:26" ht="13.5" customHeight="1" thickBot="1">
      <c r="A74" s="116"/>
      <c r="B74" s="117"/>
      <c r="C74" s="99"/>
      <c r="D74" s="200"/>
      <c r="E74" s="128">
        <f>B73</f>
        <v>1.5</v>
      </c>
      <c r="F74" s="119">
        <f t="shared" si="19"/>
        <v>-1454.9661144913161</v>
      </c>
      <c r="G74" s="119">
        <f t="shared" si="19"/>
        <v>-1254.9661144913161</v>
      </c>
      <c r="H74" s="119">
        <f t="shared" si="19"/>
        <v>-1054.9661144913161</v>
      </c>
      <c r="I74" s="119">
        <f t="shared" si="19"/>
        <v>-854.9661144913161</v>
      </c>
      <c r="J74" s="119">
        <f t="shared" si="19"/>
        <v>-654.9661144913161</v>
      </c>
      <c r="K74" s="119">
        <f t="shared" si="19"/>
        <v>-454.96611449131615</v>
      </c>
      <c r="L74" s="119">
        <f>L$71-($B$71/$E74)</f>
        <v>-254.96611449131615</v>
      </c>
      <c r="M74" s="119">
        <f t="shared" si="19"/>
        <v>-54.96611449131615</v>
      </c>
      <c r="N74" s="119">
        <f t="shared" si="19"/>
        <v>145.03388550868385</v>
      </c>
      <c r="P74" s="200"/>
      <c r="Q74" s="128">
        <f>E74</f>
        <v>1.5</v>
      </c>
      <c r="R74" s="119">
        <f t="shared" si="20"/>
        <v>115.9624689252123</v>
      </c>
      <c r="S74" s="119">
        <f t="shared" si="20"/>
        <v>315.9624689252123</v>
      </c>
      <c r="T74" s="119">
        <f t="shared" si="20"/>
        <v>515.9624689252123</v>
      </c>
      <c r="U74" s="119">
        <f t="shared" si="20"/>
        <v>715.9624689252123</v>
      </c>
      <c r="V74" s="119">
        <f t="shared" si="20"/>
        <v>915.9624689252123</v>
      </c>
      <c r="W74" s="119">
        <f t="shared" si="20"/>
        <v>1115.9624689252123</v>
      </c>
      <c r="X74" s="119">
        <f t="shared" si="20"/>
        <v>1315.9624689252123</v>
      </c>
      <c r="Y74" s="119">
        <f t="shared" si="20"/>
        <v>1515.9624689252123</v>
      </c>
      <c r="Z74" s="119">
        <f t="shared" si="20"/>
        <v>1715.9624689252123</v>
      </c>
    </row>
    <row r="75" spans="1:26" ht="13.5" customHeight="1" thickBot="1">
      <c r="A75" s="129" t="s">
        <v>83</v>
      </c>
      <c r="B75" s="130">
        <f>B5</f>
        <v>4900</v>
      </c>
      <c r="C75" s="99"/>
      <c r="D75" s="200"/>
      <c r="E75" s="118">
        <f>E74+0.25</f>
        <v>1.75</v>
      </c>
      <c r="F75" s="119">
        <f t="shared" si="19"/>
        <v>-705.9709552782706</v>
      </c>
      <c r="G75" s="119">
        <f t="shared" si="19"/>
        <v>-505.9709552782706</v>
      </c>
      <c r="H75" s="119">
        <f t="shared" si="19"/>
        <v>-305.9709552782706</v>
      </c>
      <c r="I75" s="119">
        <f t="shared" si="19"/>
        <v>-105.9709552782706</v>
      </c>
      <c r="J75" s="119">
        <f t="shared" si="19"/>
        <v>94.0290447217294</v>
      </c>
      <c r="K75" s="119">
        <f t="shared" si="19"/>
        <v>294.0290447217294</v>
      </c>
      <c r="L75" s="119">
        <f t="shared" si="19"/>
        <v>494.0290447217294</v>
      </c>
      <c r="M75" s="119">
        <f t="shared" si="19"/>
        <v>694.0290447217294</v>
      </c>
      <c r="N75" s="119">
        <f t="shared" si="19"/>
        <v>894.0290447217294</v>
      </c>
      <c r="P75" s="200"/>
      <c r="Q75" s="118">
        <f>Q74+0.25</f>
        <v>1.75</v>
      </c>
      <c r="R75" s="119">
        <f t="shared" si="20"/>
        <v>640.5392590787533</v>
      </c>
      <c r="S75" s="119">
        <f t="shared" si="20"/>
        <v>840.5392590787533</v>
      </c>
      <c r="T75" s="119">
        <f t="shared" si="20"/>
        <v>1040.5392590787533</v>
      </c>
      <c r="U75" s="119">
        <f t="shared" si="20"/>
        <v>1240.5392590787533</v>
      </c>
      <c r="V75" s="119">
        <f t="shared" si="20"/>
        <v>1440.5392590787533</v>
      </c>
      <c r="W75" s="119">
        <f t="shared" si="20"/>
        <v>1640.5392590787533</v>
      </c>
      <c r="X75" s="119">
        <f t="shared" si="20"/>
        <v>1840.5392590787533</v>
      </c>
      <c r="Y75" s="119">
        <f t="shared" si="20"/>
        <v>2040.5392590787533</v>
      </c>
      <c r="Z75" s="119">
        <f t="shared" si="20"/>
        <v>2240.5392590787533</v>
      </c>
    </row>
    <row r="76" spans="1:26" ht="13.5" customHeight="1" thickBot="1">
      <c r="A76" s="131" t="s">
        <v>61</v>
      </c>
      <c r="B76" s="130">
        <f>D5</f>
        <v>312</v>
      </c>
      <c r="C76" s="99"/>
      <c r="D76" s="201"/>
      <c r="E76" s="118">
        <f>E75+0.25</f>
        <v>2</v>
      </c>
      <c r="F76" s="119">
        <f>F$71-($B$71/$E76)</f>
        <v>-144.22458586848688</v>
      </c>
      <c r="G76" s="119">
        <f t="shared" si="19"/>
        <v>55.775414131513116</v>
      </c>
      <c r="H76" s="119">
        <f t="shared" si="19"/>
        <v>255.77541413151312</v>
      </c>
      <c r="I76" s="119">
        <f t="shared" si="19"/>
        <v>455.7754141315131</v>
      </c>
      <c r="J76" s="119">
        <f t="shared" si="19"/>
        <v>655.7754141315131</v>
      </c>
      <c r="K76" s="119">
        <f t="shared" si="19"/>
        <v>855.7754141315131</v>
      </c>
      <c r="L76" s="119">
        <f t="shared" si="19"/>
        <v>1055.7754141315131</v>
      </c>
      <c r="M76" s="119">
        <f t="shared" si="19"/>
        <v>1255.7754141315131</v>
      </c>
      <c r="N76" s="119">
        <f>N$71-($B$71/$E76)</f>
        <v>1455.7754141315131</v>
      </c>
      <c r="P76" s="201"/>
      <c r="Q76" s="118">
        <f>Q75+0.25</f>
        <v>2</v>
      </c>
      <c r="R76" s="119">
        <f>R$71-($B$69/$E76)</f>
        <v>1033.9718516939092</v>
      </c>
      <c r="S76" s="119">
        <f t="shared" si="20"/>
        <v>1233.9718516939092</v>
      </c>
      <c r="T76" s="119">
        <f t="shared" si="20"/>
        <v>1433.9718516939092</v>
      </c>
      <c r="U76" s="119">
        <f t="shared" si="20"/>
        <v>1633.9718516939092</v>
      </c>
      <c r="V76" s="119">
        <f t="shared" si="20"/>
        <v>1833.9718516939092</v>
      </c>
      <c r="W76" s="119">
        <f t="shared" si="20"/>
        <v>2033.9718516939092</v>
      </c>
      <c r="X76" s="119">
        <f t="shared" si="20"/>
        <v>2233.9718516939092</v>
      </c>
      <c r="Y76" s="119">
        <f t="shared" si="20"/>
        <v>2433.9718516939092</v>
      </c>
      <c r="Z76" s="119">
        <f t="shared" si="20"/>
        <v>2633.9718516939092</v>
      </c>
    </row>
    <row r="77" spans="1:24" ht="13.5" customHeight="1" thickBot="1">
      <c r="A77" s="136" t="s">
        <v>62</v>
      </c>
      <c r="B77" s="137">
        <f>B75-B76</f>
        <v>4588</v>
      </c>
      <c r="C77" s="99"/>
      <c r="D77" s="138"/>
      <c r="E77" s="139"/>
      <c r="F77" s="140"/>
      <c r="G77" s="140"/>
      <c r="H77" s="140"/>
      <c r="I77" s="140"/>
      <c r="J77" s="140"/>
      <c r="K77" s="140"/>
      <c r="L77" s="140"/>
      <c r="P77" s="138"/>
      <c r="Q77" s="139"/>
      <c r="R77" s="140"/>
      <c r="S77" s="140"/>
      <c r="T77" s="140"/>
      <c r="U77" s="140"/>
      <c r="V77" s="140"/>
      <c r="W77" s="140"/>
      <c r="X77" s="140"/>
    </row>
    <row r="78" spans="1:24" ht="13.5" customHeight="1">
      <c r="A78" s="141"/>
      <c r="B78" s="142"/>
      <c r="C78" s="99"/>
      <c r="D78" s="138"/>
      <c r="E78" s="139"/>
      <c r="F78" s="140"/>
      <c r="G78" s="140"/>
      <c r="H78" s="140"/>
      <c r="I78" s="140"/>
      <c r="J78" s="140"/>
      <c r="K78" s="140"/>
      <c r="L78" s="140"/>
      <c r="P78" s="138"/>
      <c r="Q78" s="139"/>
      <c r="R78" s="140"/>
      <c r="S78" s="140"/>
      <c r="T78" s="140"/>
      <c r="U78" s="140"/>
      <c r="V78" s="140"/>
      <c r="W78" s="140"/>
      <c r="X78" s="140"/>
    </row>
    <row r="79" spans="1:24" ht="13.5" customHeight="1">
      <c r="A79" s="94"/>
      <c r="B79" s="94"/>
      <c r="D79" s="138"/>
      <c r="E79" s="139"/>
      <c r="F79" s="140"/>
      <c r="G79" s="140"/>
      <c r="H79" s="140"/>
      <c r="I79" s="140"/>
      <c r="J79" s="140"/>
      <c r="K79" s="140"/>
      <c r="L79" s="140"/>
      <c r="P79" s="138"/>
      <c r="Q79" s="139"/>
      <c r="R79" s="140"/>
      <c r="S79" s="140"/>
      <c r="T79" s="140"/>
      <c r="U79" s="140"/>
      <c r="V79" s="140"/>
      <c r="W79" s="140"/>
      <c r="X79" s="140"/>
    </row>
    <row r="80" spans="1:2" ht="13.5" customHeight="1" thickBot="1">
      <c r="A80" s="198" t="s">
        <v>88</v>
      </c>
      <c r="B80" s="198"/>
    </row>
    <row r="81" spans="1:26" ht="19.5" customHeight="1" thickBot="1">
      <c r="A81" s="96" t="s">
        <v>111</v>
      </c>
      <c r="B81" s="162"/>
      <c r="C81" s="97"/>
      <c r="D81" s="202" t="s">
        <v>65</v>
      </c>
      <c r="E81" s="203"/>
      <c r="F81" s="203"/>
      <c r="G81" s="203"/>
      <c r="H81" s="203"/>
      <c r="I81" s="203"/>
      <c r="J81" s="203"/>
      <c r="K81" s="203"/>
      <c r="L81" s="203"/>
      <c r="M81" s="203"/>
      <c r="N81" s="204"/>
      <c r="P81" s="202" t="s">
        <v>66</v>
      </c>
      <c r="Q81" s="203"/>
      <c r="R81" s="203"/>
      <c r="S81" s="203"/>
      <c r="T81" s="203"/>
      <c r="U81" s="203"/>
      <c r="V81" s="203"/>
      <c r="W81" s="203"/>
      <c r="X81" s="203"/>
      <c r="Y81" s="203"/>
      <c r="Z81" s="204"/>
    </row>
    <row r="82" spans="1:26" ht="13.5" customHeight="1" thickBot="1">
      <c r="A82" s="98" t="s">
        <v>52</v>
      </c>
      <c r="B82" s="189">
        <f>INDEX(Sojabone!M9:O13,MATCH($B$86,Sojaopbrengspeil,0),2)</f>
        <v>5289.9553099103</v>
      </c>
      <c r="C82" s="151"/>
      <c r="D82" s="100"/>
      <c r="E82" s="101"/>
      <c r="F82" s="102"/>
      <c r="G82" s="103"/>
      <c r="H82" s="102"/>
      <c r="I82" s="102"/>
      <c r="J82" s="102" t="s">
        <v>67</v>
      </c>
      <c r="K82" s="104"/>
      <c r="L82" s="102"/>
      <c r="M82" s="104"/>
      <c r="N82" s="102"/>
      <c r="P82" s="100"/>
      <c r="Q82" s="101"/>
      <c r="R82" s="102"/>
      <c r="S82" s="103"/>
      <c r="T82" s="102"/>
      <c r="U82" s="102"/>
      <c r="V82" s="102" t="s">
        <v>67</v>
      </c>
      <c r="W82" s="104"/>
      <c r="X82" s="102"/>
      <c r="Y82" s="104"/>
      <c r="Z82" s="102"/>
    </row>
    <row r="83" spans="1:26" ht="13.5" customHeight="1" thickBot="1">
      <c r="A83" s="105" t="s">
        <v>54</v>
      </c>
      <c r="B83" s="189">
        <f>INDEX(Sojabone!M9:O13,MATCH($B$86,Sojaopbrengspeil,0),3)</f>
        <v>2179.4378751247923</v>
      </c>
      <c r="C83" s="151"/>
      <c r="D83" s="202" t="s">
        <v>55</v>
      </c>
      <c r="E83" s="204"/>
      <c r="F83" s="108">
        <f>G83-200</f>
        <v>4020</v>
      </c>
      <c r="G83" s="108">
        <f>H83-200</f>
        <v>4220</v>
      </c>
      <c r="H83" s="108">
        <f>I83-200</f>
        <v>4420</v>
      </c>
      <c r="I83" s="108">
        <f>J83-200</f>
        <v>4620</v>
      </c>
      <c r="J83" s="109">
        <f>B88</f>
        <v>4820</v>
      </c>
      <c r="K83" s="108">
        <f>J83+200</f>
        <v>5020</v>
      </c>
      <c r="L83" s="108">
        <f>K83+200</f>
        <v>5220</v>
      </c>
      <c r="M83" s="108">
        <f>L83+200</f>
        <v>5420</v>
      </c>
      <c r="N83" s="108">
        <f>M83+200</f>
        <v>5620</v>
      </c>
      <c r="P83" s="202" t="s">
        <v>55</v>
      </c>
      <c r="Q83" s="204"/>
      <c r="R83" s="108">
        <f>S83-200</f>
        <v>4020</v>
      </c>
      <c r="S83" s="108">
        <f>T83-200</f>
        <v>4220</v>
      </c>
      <c r="T83" s="108">
        <f>U83-200</f>
        <v>4420</v>
      </c>
      <c r="U83" s="108">
        <f>V83-200</f>
        <v>4620</v>
      </c>
      <c r="V83" s="109">
        <f>J83</f>
        <v>4820</v>
      </c>
      <c r="W83" s="108">
        <f>V83+200</f>
        <v>5020</v>
      </c>
      <c r="X83" s="108">
        <f>W83+200</f>
        <v>5220</v>
      </c>
      <c r="Y83" s="108">
        <f>X83+200</f>
        <v>5420</v>
      </c>
      <c r="Z83" s="108">
        <f>Y83+200</f>
        <v>5620</v>
      </c>
    </row>
    <row r="84" spans="1:26" ht="13.5" customHeight="1" thickBot="1">
      <c r="A84" s="110" t="s">
        <v>56</v>
      </c>
      <c r="B84" s="111">
        <f>B83+B82</f>
        <v>7469.393185035092</v>
      </c>
      <c r="C84" s="152"/>
      <c r="D84" s="205" t="s">
        <v>57</v>
      </c>
      <c r="E84" s="206"/>
      <c r="F84" s="153">
        <f aca="true" t="shared" si="21" ref="F84:N84">F83-$B$89</f>
        <v>3957</v>
      </c>
      <c r="G84" s="113">
        <f t="shared" si="21"/>
        <v>4157</v>
      </c>
      <c r="H84" s="113">
        <f t="shared" si="21"/>
        <v>4357</v>
      </c>
      <c r="I84" s="113">
        <f t="shared" si="21"/>
        <v>4557</v>
      </c>
      <c r="J84" s="115">
        <f t="shared" si="21"/>
        <v>4757</v>
      </c>
      <c r="K84" s="113">
        <f t="shared" si="21"/>
        <v>4957</v>
      </c>
      <c r="L84" s="113">
        <f t="shared" si="21"/>
        <v>5157</v>
      </c>
      <c r="M84" s="113">
        <f t="shared" si="21"/>
        <v>5357</v>
      </c>
      <c r="N84" s="113">
        <f t="shared" si="21"/>
        <v>5557</v>
      </c>
      <c r="P84" s="205" t="s">
        <v>57</v>
      </c>
      <c r="Q84" s="206"/>
      <c r="R84" s="113">
        <f aca="true" t="shared" si="22" ref="R84:Z84">R83-$B$89</f>
        <v>3957</v>
      </c>
      <c r="S84" s="113">
        <f t="shared" si="22"/>
        <v>4157</v>
      </c>
      <c r="T84" s="113">
        <f t="shared" si="22"/>
        <v>4357</v>
      </c>
      <c r="U84" s="113">
        <f t="shared" si="22"/>
        <v>4557</v>
      </c>
      <c r="V84" s="115">
        <f t="shared" si="22"/>
        <v>4757</v>
      </c>
      <c r="W84" s="113">
        <f t="shared" si="22"/>
        <v>4957</v>
      </c>
      <c r="X84" s="113">
        <f t="shared" si="22"/>
        <v>5157</v>
      </c>
      <c r="Y84" s="113">
        <f t="shared" si="22"/>
        <v>5357</v>
      </c>
      <c r="Z84" s="113">
        <f t="shared" si="22"/>
        <v>5557</v>
      </c>
    </row>
    <row r="85" spans="1:26" ht="13.5" customHeight="1" thickBot="1">
      <c r="A85" s="116"/>
      <c r="B85" s="117"/>
      <c r="C85" s="154"/>
      <c r="D85" s="199" t="s">
        <v>58</v>
      </c>
      <c r="E85" s="118">
        <f>E86-0.25</f>
        <v>1</v>
      </c>
      <c r="F85" s="119">
        <f>F$84-($B$84/$E85)</f>
        <v>-3512.393185035092</v>
      </c>
      <c r="G85" s="120">
        <f aca="true" t="shared" si="23" ref="F85:N89">G$84-($B$84/$E85)</f>
        <v>-3312.393185035092</v>
      </c>
      <c r="H85" s="120">
        <f t="shared" si="23"/>
        <v>-3112.393185035092</v>
      </c>
      <c r="I85" s="120">
        <f t="shared" si="23"/>
        <v>-2912.393185035092</v>
      </c>
      <c r="J85" s="120">
        <f t="shared" si="23"/>
        <v>-2712.393185035092</v>
      </c>
      <c r="K85" s="120">
        <f t="shared" si="23"/>
        <v>-2512.393185035092</v>
      </c>
      <c r="L85" s="120">
        <f t="shared" si="23"/>
        <v>-2312.393185035092</v>
      </c>
      <c r="M85" s="121">
        <f t="shared" si="23"/>
        <v>-2112.393185035092</v>
      </c>
      <c r="N85" s="122">
        <f t="shared" si="23"/>
        <v>-1912.3931850350918</v>
      </c>
      <c r="P85" s="199" t="s">
        <v>58</v>
      </c>
      <c r="Q85" s="118">
        <f>Q86-0.25</f>
        <v>1</v>
      </c>
      <c r="R85" s="119">
        <f>R$84-($B$82/$E85)</f>
        <v>-1332.9553099102995</v>
      </c>
      <c r="S85" s="119">
        <f aca="true" t="shared" si="24" ref="S85:Z85">S$84-($B$82/$E85)</f>
        <v>-1132.9553099102995</v>
      </c>
      <c r="T85" s="119">
        <f t="shared" si="24"/>
        <v>-932.9553099102995</v>
      </c>
      <c r="U85" s="119">
        <f t="shared" si="24"/>
        <v>-732.9553099102995</v>
      </c>
      <c r="V85" s="119">
        <f t="shared" si="24"/>
        <v>-532.9553099102995</v>
      </c>
      <c r="W85" s="119">
        <f t="shared" si="24"/>
        <v>-332.95530991029955</v>
      </c>
      <c r="X85" s="119">
        <f t="shared" si="24"/>
        <v>-132.95530991029955</v>
      </c>
      <c r="Y85" s="119">
        <f t="shared" si="24"/>
        <v>67.04469008970045</v>
      </c>
      <c r="Z85" s="119">
        <f t="shared" si="24"/>
        <v>267.04469008970045</v>
      </c>
    </row>
    <row r="86" spans="1:26" ht="13.5" customHeight="1" thickBot="1">
      <c r="A86" s="123" t="s">
        <v>59</v>
      </c>
      <c r="B86" s="193">
        <f>Sojabone!E5</f>
        <v>1.5</v>
      </c>
      <c r="C86" s="155"/>
      <c r="D86" s="200"/>
      <c r="E86" s="118">
        <f>E87-0.25</f>
        <v>1.25</v>
      </c>
      <c r="F86" s="124">
        <f t="shared" si="23"/>
        <v>-2018.5145480280735</v>
      </c>
      <c r="G86" s="125">
        <f t="shared" si="23"/>
        <v>-1818.5145480280735</v>
      </c>
      <c r="H86" s="125">
        <f t="shared" si="23"/>
        <v>-1618.5145480280735</v>
      </c>
      <c r="I86" s="125">
        <f t="shared" si="23"/>
        <v>-1418.5145480280735</v>
      </c>
      <c r="J86" s="125">
        <f t="shared" si="23"/>
        <v>-1218.5145480280735</v>
      </c>
      <c r="K86" s="126">
        <f t="shared" si="23"/>
        <v>-1018.5145480280735</v>
      </c>
      <c r="L86" s="126">
        <f t="shared" si="23"/>
        <v>-818.5145480280735</v>
      </c>
      <c r="M86" s="126">
        <f t="shared" si="23"/>
        <v>-618.5145480280735</v>
      </c>
      <c r="N86" s="127">
        <f t="shared" si="23"/>
        <v>-418.5145480280735</v>
      </c>
      <c r="P86" s="200"/>
      <c r="Q86" s="118">
        <f>Q87-0.25</f>
        <v>1.25</v>
      </c>
      <c r="R86" s="119">
        <f aca="true" t="shared" si="25" ref="R86:Z89">R$84-($B$82/$E86)</f>
        <v>-274.9642479282393</v>
      </c>
      <c r="S86" s="119">
        <f t="shared" si="25"/>
        <v>-74.96424792823927</v>
      </c>
      <c r="T86" s="119">
        <f t="shared" si="25"/>
        <v>125.03575207176073</v>
      </c>
      <c r="U86" s="119">
        <f t="shared" si="25"/>
        <v>325.0357520717607</v>
      </c>
      <c r="V86" s="119">
        <f t="shared" si="25"/>
        <v>525.0357520717607</v>
      </c>
      <c r="W86" s="119">
        <f t="shared" si="25"/>
        <v>725.0357520717607</v>
      </c>
      <c r="X86" s="119">
        <f t="shared" si="25"/>
        <v>925.0357520717607</v>
      </c>
      <c r="Y86" s="119">
        <f t="shared" si="25"/>
        <v>1125.0357520717607</v>
      </c>
      <c r="Z86" s="119">
        <f t="shared" si="25"/>
        <v>1325.0357520717607</v>
      </c>
    </row>
    <row r="87" spans="1:26" ht="13.5" customHeight="1" thickBot="1">
      <c r="A87" s="116"/>
      <c r="B87" s="117"/>
      <c r="C87" s="154"/>
      <c r="D87" s="200"/>
      <c r="E87" s="128">
        <f>B86</f>
        <v>1.5</v>
      </c>
      <c r="F87" s="124">
        <f t="shared" si="23"/>
        <v>-1022.5954566900609</v>
      </c>
      <c r="G87" s="125">
        <f t="shared" si="23"/>
        <v>-822.5954566900609</v>
      </c>
      <c r="H87" s="125">
        <f t="shared" si="23"/>
        <v>-622.5954566900609</v>
      </c>
      <c r="I87" s="125">
        <f t="shared" si="23"/>
        <v>-422.5954566900609</v>
      </c>
      <c r="J87" s="126">
        <f t="shared" si="23"/>
        <v>-222.59545669006093</v>
      </c>
      <c r="K87" s="126">
        <f t="shared" si="23"/>
        <v>-22.595456690060928</v>
      </c>
      <c r="L87" s="126">
        <f t="shared" si="23"/>
        <v>177.40454330993907</v>
      </c>
      <c r="M87" s="126">
        <f t="shared" si="23"/>
        <v>377.4045433099391</v>
      </c>
      <c r="N87" s="127">
        <f t="shared" si="23"/>
        <v>577.4045433099391</v>
      </c>
      <c r="P87" s="200"/>
      <c r="Q87" s="128">
        <f>E87</f>
        <v>1.5</v>
      </c>
      <c r="R87" s="119">
        <f>R$84-($B$82/$E87)</f>
        <v>430.3631267264668</v>
      </c>
      <c r="S87" s="119">
        <f t="shared" si="25"/>
        <v>630.3631267264668</v>
      </c>
      <c r="T87" s="119">
        <f t="shared" si="25"/>
        <v>830.3631267264668</v>
      </c>
      <c r="U87" s="119">
        <f t="shared" si="25"/>
        <v>1030.3631267264668</v>
      </c>
      <c r="V87" s="119">
        <f t="shared" si="25"/>
        <v>1230.3631267264668</v>
      </c>
      <c r="W87" s="119">
        <f t="shared" si="25"/>
        <v>1430.3631267264668</v>
      </c>
      <c r="X87" s="119">
        <f t="shared" si="25"/>
        <v>1630.3631267264668</v>
      </c>
      <c r="Y87" s="119">
        <f t="shared" si="25"/>
        <v>1830.3631267264668</v>
      </c>
      <c r="Z87" s="119">
        <f t="shared" si="25"/>
        <v>2030.3631267264668</v>
      </c>
    </row>
    <row r="88" spans="1:26" ht="13.5" customHeight="1" thickBot="1">
      <c r="A88" s="129" t="s">
        <v>68</v>
      </c>
      <c r="B88" s="156">
        <f>B6</f>
        <v>4820</v>
      </c>
      <c r="C88" s="154"/>
      <c r="D88" s="200"/>
      <c r="E88" s="118">
        <f>E87+0.25</f>
        <v>1.75</v>
      </c>
      <c r="F88" s="124">
        <f t="shared" si="23"/>
        <v>-311.22467716290976</v>
      </c>
      <c r="G88" s="125">
        <f t="shared" si="23"/>
        <v>-111.22467716290976</v>
      </c>
      <c r="H88" s="125">
        <f t="shared" si="23"/>
        <v>88.77532283709024</v>
      </c>
      <c r="I88" s="126">
        <f t="shared" si="23"/>
        <v>288.77532283709024</v>
      </c>
      <c r="J88" s="126">
        <f t="shared" si="23"/>
        <v>488.77532283709024</v>
      </c>
      <c r="K88" s="126">
        <f t="shared" si="23"/>
        <v>688.7753228370902</v>
      </c>
      <c r="L88" s="126">
        <f t="shared" si="23"/>
        <v>888.7753228370902</v>
      </c>
      <c r="M88" s="126">
        <f t="shared" si="23"/>
        <v>1088.7753228370902</v>
      </c>
      <c r="N88" s="127">
        <f t="shared" si="23"/>
        <v>1288.7753228370902</v>
      </c>
      <c r="P88" s="200"/>
      <c r="Q88" s="118">
        <f>Q87+0.25</f>
        <v>1.75</v>
      </c>
      <c r="R88" s="119">
        <f t="shared" si="25"/>
        <v>934.1683943369717</v>
      </c>
      <c r="S88" s="119">
        <f t="shared" si="25"/>
        <v>1134.1683943369717</v>
      </c>
      <c r="T88" s="119">
        <f t="shared" si="25"/>
        <v>1334.1683943369717</v>
      </c>
      <c r="U88" s="119">
        <f t="shared" si="25"/>
        <v>1534.1683943369717</v>
      </c>
      <c r="V88" s="119">
        <f t="shared" si="25"/>
        <v>1734.1683943369717</v>
      </c>
      <c r="W88" s="119">
        <f t="shared" si="25"/>
        <v>1934.1683943369717</v>
      </c>
      <c r="X88" s="119">
        <f t="shared" si="25"/>
        <v>2134.1683943369717</v>
      </c>
      <c r="Y88" s="119">
        <f t="shared" si="25"/>
        <v>2334.1683943369717</v>
      </c>
      <c r="Z88" s="119">
        <f t="shared" si="25"/>
        <v>2534.1683943369717</v>
      </c>
    </row>
    <row r="89" spans="1:26" ht="13.5" customHeight="1" thickBot="1">
      <c r="A89" s="131" t="s">
        <v>61</v>
      </c>
      <c r="B89" s="130">
        <f>D6</f>
        <v>63</v>
      </c>
      <c r="C89" s="157"/>
      <c r="D89" s="201"/>
      <c r="E89" s="118">
        <f>E88+0.25</f>
        <v>2</v>
      </c>
      <c r="F89" s="132">
        <f t="shared" si="23"/>
        <v>222.30340748245408</v>
      </c>
      <c r="G89" s="133">
        <f>G$84-($B$84/$E89)</f>
        <v>422.3034074824541</v>
      </c>
      <c r="H89" s="134">
        <f t="shared" si="23"/>
        <v>622.3034074824541</v>
      </c>
      <c r="I89" s="134">
        <f t="shared" si="23"/>
        <v>822.3034074824541</v>
      </c>
      <c r="J89" s="134">
        <f t="shared" si="23"/>
        <v>1022.3034074824541</v>
      </c>
      <c r="K89" s="134">
        <f t="shared" si="23"/>
        <v>1222.303407482454</v>
      </c>
      <c r="L89" s="134">
        <f t="shared" si="23"/>
        <v>1422.303407482454</v>
      </c>
      <c r="M89" s="134">
        <f t="shared" si="23"/>
        <v>1622.303407482454</v>
      </c>
      <c r="N89" s="135">
        <f>N$84-($B$84/$E89)</f>
        <v>1822.303407482454</v>
      </c>
      <c r="P89" s="201"/>
      <c r="Q89" s="118">
        <f>Q88+0.25</f>
        <v>2</v>
      </c>
      <c r="R89" s="119">
        <f t="shared" si="25"/>
        <v>1312.0223450448502</v>
      </c>
      <c r="S89" s="119">
        <f>S$84-($B$82/$E89)</f>
        <v>1512.0223450448502</v>
      </c>
      <c r="T89" s="119">
        <f t="shared" si="25"/>
        <v>1712.0223450448502</v>
      </c>
      <c r="U89" s="119">
        <f t="shared" si="25"/>
        <v>1912.0223450448502</v>
      </c>
      <c r="V89" s="119">
        <f t="shared" si="25"/>
        <v>2112.02234504485</v>
      </c>
      <c r="W89" s="119">
        <f t="shared" si="25"/>
        <v>2312.02234504485</v>
      </c>
      <c r="X89" s="119">
        <f t="shared" si="25"/>
        <v>2512.02234504485</v>
      </c>
      <c r="Y89" s="119">
        <f t="shared" si="25"/>
        <v>2712.02234504485</v>
      </c>
      <c r="Z89" s="119">
        <f t="shared" si="25"/>
        <v>2912.02234504485</v>
      </c>
    </row>
    <row r="90" spans="1:3" ht="13.5" customHeight="1" thickBot="1">
      <c r="A90" s="136" t="s">
        <v>62</v>
      </c>
      <c r="B90" s="137">
        <f>B88-B89</f>
        <v>4757</v>
      </c>
      <c r="C90" s="157"/>
    </row>
    <row r="91" ht="13.5" customHeight="1"/>
    <row r="92" ht="13.5" customHeight="1"/>
    <row r="93" spans="1:2" ht="13.5" customHeight="1" thickBot="1">
      <c r="A93" s="198" t="s">
        <v>90</v>
      </c>
      <c r="B93" s="198"/>
    </row>
    <row r="94" spans="1:26" ht="19.5" customHeight="1" thickBot="1">
      <c r="A94" s="96" t="s">
        <v>112</v>
      </c>
      <c r="B94" s="162"/>
      <c r="C94" s="97"/>
      <c r="D94" s="202" t="s">
        <v>70</v>
      </c>
      <c r="E94" s="203"/>
      <c r="F94" s="203"/>
      <c r="G94" s="203"/>
      <c r="H94" s="203"/>
      <c r="I94" s="203"/>
      <c r="J94" s="203"/>
      <c r="K94" s="203"/>
      <c r="L94" s="203"/>
      <c r="M94" s="203"/>
      <c r="N94" s="204"/>
      <c r="P94" s="202" t="s">
        <v>71</v>
      </c>
      <c r="Q94" s="203"/>
      <c r="R94" s="203"/>
      <c r="S94" s="203"/>
      <c r="T94" s="203"/>
      <c r="U94" s="203"/>
      <c r="V94" s="203"/>
      <c r="W94" s="203"/>
      <c r="X94" s="203"/>
      <c r="Y94" s="203"/>
      <c r="Z94" s="204"/>
    </row>
    <row r="95" spans="1:26" ht="13.5" customHeight="1" thickBot="1">
      <c r="A95" s="98" t="s">
        <v>52</v>
      </c>
      <c r="B95" s="189">
        <f>INDEX(Sojabone!M9:O13,MATCH($B$99,Sorgopbrengspeil,0),2)</f>
        <v>5584.922821942847</v>
      </c>
      <c r="C95" s="151"/>
      <c r="D95" s="100"/>
      <c r="E95" s="101"/>
      <c r="F95" s="102"/>
      <c r="G95" s="103"/>
      <c r="H95" s="102"/>
      <c r="I95" s="102"/>
      <c r="J95" s="102" t="s">
        <v>67</v>
      </c>
      <c r="K95" s="104"/>
      <c r="L95" s="102"/>
      <c r="M95" s="104"/>
      <c r="N95" s="102"/>
      <c r="P95" s="100"/>
      <c r="Q95" s="101"/>
      <c r="R95" s="102"/>
      <c r="S95" s="103"/>
      <c r="T95" s="102"/>
      <c r="U95" s="102"/>
      <c r="V95" s="102" t="s">
        <v>67</v>
      </c>
      <c r="W95" s="104"/>
      <c r="X95" s="102"/>
      <c r="Y95" s="104"/>
      <c r="Z95" s="102"/>
    </row>
    <row r="96" spans="1:26" ht="13.5" customHeight="1" thickBot="1">
      <c r="A96" s="105" t="s">
        <v>54</v>
      </c>
      <c r="B96" s="189">
        <f>INDEX(Sojabone!M9:O13,MATCH($B$99,Sorgopbrengspeil,0),3)</f>
        <v>2179.4378751247923</v>
      </c>
      <c r="C96" s="151"/>
      <c r="D96" s="202" t="s">
        <v>55</v>
      </c>
      <c r="E96" s="204"/>
      <c r="F96" s="108">
        <f>G96-200</f>
        <v>1700</v>
      </c>
      <c r="G96" s="108">
        <f>H96-200</f>
        <v>1900</v>
      </c>
      <c r="H96" s="108">
        <f>I96-200</f>
        <v>2100</v>
      </c>
      <c r="I96" s="108">
        <f>J96-200</f>
        <v>2300</v>
      </c>
      <c r="J96" s="109">
        <f>B101</f>
        <v>2500</v>
      </c>
      <c r="K96" s="108">
        <f>J96+200</f>
        <v>2700</v>
      </c>
      <c r="L96" s="108">
        <f>K96+200</f>
        <v>2900</v>
      </c>
      <c r="M96" s="108">
        <f>L96+200</f>
        <v>3100</v>
      </c>
      <c r="N96" s="108">
        <f>M96+200</f>
        <v>3300</v>
      </c>
      <c r="P96" s="202" t="s">
        <v>55</v>
      </c>
      <c r="Q96" s="204"/>
      <c r="R96" s="108">
        <f>S96-200</f>
        <v>1700</v>
      </c>
      <c r="S96" s="108">
        <f>T96-200</f>
        <v>1900</v>
      </c>
      <c r="T96" s="108">
        <f>U96-200</f>
        <v>2100</v>
      </c>
      <c r="U96" s="108">
        <f>V96-200</f>
        <v>2300</v>
      </c>
      <c r="V96" s="109">
        <f>J96</f>
        <v>2500</v>
      </c>
      <c r="W96" s="108">
        <f>V96+200</f>
        <v>2700</v>
      </c>
      <c r="X96" s="108">
        <f>W96+200</f>
        <v>2900</v>
      </c>
      <c r="Y96" s="108">
        <f>X96+200</f>
        <v>3100</v>
      </c>
      <c r="Z96" s="108">
        <f>Y96+200</f>
        <v>3300</v>
      </c>
    </row>
    <row r="97" spans="1:26" ht="13.5" customHeight="1" thickBot="1">
      <c r="A97" s="110" t="s">
        <v>56</v>
      </c>
      <c r="B97" s="111">
        <f>B96+B95</f>
        <v>7764.360697067639</v>
      </c>
      <c r="C97" s="152"/>
      <c r="D97" s="205" t="s">
        <v>57</v>
      </c>
      <c r="E97" s="206"/>
      <c r="F97" s="153">
        <f aca="true" t="shared" si="26" ref="F97:N97">F96-$B$89</f>
        <v>1637</v>
      </c>
      <c r="G97" s="113">
        <f t="shared" si="26"/>
        <v>1837</v>
      </c>
      <c r="H97" s="113">
        <f t="shared" si="26"/>
        <v>2037</v>
      </c>
      <c r="I97" s="113">
        <f t="shared" si="26"/>
        <v>2237</v>
      </c>
      <c r="J97" s="109">
        <f>J96-$B$89</f>
        <v>2437</v>
      </c>
      <c r="K97" s="113">
        <f t="shared" si="26"/>
        <v>2637</v>
      </c>
      <c r="L97" s="113">
        <f t="shared" si="26"/>
        <v>2837</v>
      </c>
      <c r="M97" s="113">
        <f t="shared" si="26"/>
        <v>3037</v>
      </c>
      <c r="N97" s="113">
        <f t="shared" si="26"/>
        <v>3237</v>
      </c>
      <c r="P97" s="205" t="s">
        <v>57</v>
      </c>
      <c r="Q97" s="206"/>
      <c r="R97" s="113">
        <f aca="true" t="shared" si="27" ref="R97:Z97">R96-$B$89</f>
        <v>1637</v>
      </c>
      <c r="S97" s="113">
        <f t="shared" si="27"/>
        <v>1837</v>
      </c>
      <c r="T97" s="113">
        <f t="shared" si="27"/>
        <v>2037</v>
      </c>
      <c r="U97" s="113">
        <f t="shared" si="27"/>
        <v>2237</v>
      </c>
      <c r="V97" s="115">
        <f t="shared" si="27"/>
        <v>2437</v>
      </c>
      <c r="W97" s="113">
        <f t="shared" si="27"/>
        <v>2637</v>
      </c>
      <c r="X97" s="113">
        <f t="shared" si="27"/>
        <v>2837</v>
      </c>
      <c r="Y97" s="113">
        <f t="shared" si="27"/>
        <v>3037</v>
      </c>
      <c r="Z97" s="113">
        <f t="shared" si="27"/>
        <v>3237</v>
      </c>
    </row>
    <row r="98" spans="1:26" ht="13.5" customHeight="1" thickBot="1">
      <c r="A98" s="116"/>
      <c r="B98" s="117"/>
      <c r="C98" s="154"/>
      <c r="D98" s="199" t="s">
        <v>58</v>
      </c>
      <c r="E98" s="118">
        <f>E99-0.25</f>
        <v>2.5</v>
      </c>
      <c r="F98" s="119">
        <f>F$97-($B$97/$E98)</f>
        <v>-1468.7442788270555</v>
      </c>
      <c r="G98" s="119">
        <f aca="true" t="shared" si="28" ref="G98:N98">G$97-($B$97/$E98)</f>
        <v>-1268.7442788270555</v>
      </c>
      <c r="H98" s="119">
        <f t="shared" si="28"/>
        <v>-1068.7442788270555</v>
      </c>
      <c r="I98" s="119">
        <f t="shared" si="28"/>
        <v>-868.7442788270555</v>
      </c>
      <c r="J98" s="119">
        <f t="shared" si="28"/>
        <v>-668.7442788270555</v>
      </c>
      <c r="K98" s="119">
        <f t="shared" si="28"/>
        <v>-468.7442788270555</v>
      </c>
      <c r="L98" s="119">
        <f>L$97-($B$97/$E98)</f>
        <v>-268.7442788270555</v>
      </c>
      <c r="M98" s="119">
        <f t="shared" si="28"/>
        <v>-68.7442788270555</v>
      </c>
      <c r="N98" s="119">
        <f t="shared" si="28"/>
        <v>131.2557211729445</v>
      </c>
      <c r="P98" s="199" t="s">
        <v>58</v>
      </c>
      <c r="Q98" s="118">
        <f>Q99-0.25</f>
        <v>2.5</v>
      </c>
      <c r="R98" s="119">
        <f>R$97-($B$95/$E98)</f>
        <v>-596.9691287771388</v>
      </c>
      <c r="S98" s="119">
        <f aca="true" t="shared" si="29" ref="S98:Z98">S$97-($B$95/$E98)</f>
        <v>-396.96912877713885</v>
      </c>
      <c r="T98" s="119">
        <f t="shared" si="29"/>
        <v>-196.96912877713885</v>
      </c>
      <c r="U98" s="119">
        <f t="shared" si="29"/>
        <v>3.030871222861151</v>
      </c>
      <c r="V98" s="119">
        <f t="shared" si="29"/>
        <v>203.03087122286115</v>
      </c>
      <c r="W98" s="119">
        <f t="shared" si="29"/>
        <v>403.03087122286115</v>
      </c>
      <c r="X98" s="119">
        <f t="shared" si="29"/>
        <v>603.0308712228612</v>
      </c>
      <c r="Y98" s="119">
        <f t="shared" si="29"/>
        <v>803.0308712228612</v>
      </c>
      <c r="Z98" s="119">
        <f t="shared" si="29"/>
        <v>1003.0308712228612</v>
      </c>
    </row>
    <row r="99" spans="1:26" ht="13.5" customHeight="1" thickBot="1">
      <c r="A99" s="123" t="s">
        <v>59</v>
      </c>
      <c r="B99" s="193">
        <f>Graansorghum!F5</f>
        <v>3</v>
      </c>
      <c r="C99" s="155"/>
      <c r="D99" s="200"/>
      <c r="E99" s="118">
        <f>E100-0.25</f>
        <v>2.75</v>
      </c>
      <c r="F99" s="119">
        <f aca="true" t="shared" si="30" ref="F99:N102">F$97-($B$97/$E99)</f>
        <v>-1186.403889842778</v>
      </c>
      <c r="G99" s="119">
        <f t="shared" si="30"/>
        <v>-986.403889842778</v>
      </c>
      <c r="H99" s="119">
        <f t="shared" si="30"/>
        <v>-786.403889842778</v>
      </c>
      <c r="I99" s="119">
        <f t="shared" si="30"/>
        <v>-586.403889842778</v>
      </c>
      <c r="J99" s="119">
        <f t="shared" si="30"/>
        <v>-386.40388984277797</v>
      </c>
      <c r="K99" s="119">
        <f t="shared" si="30"/>
        <v>-186.40388984277797</v>
      </c>
      <c r="L99" s="119">
        <f t="shared" si="30"/>
        <v>13.596110157222029</v>
      </c>
      <c r="M99" s="119">
        <f t="shared" si="30"/>
        <v>213.59611015722203</v>
      </c>
      <c r="N99" s="119">
        <f t="shared" si="30"/>
        <v>413.59611015722203</v>
      </c>
      <c r="P99" s="200"/>
      <c r="Q99" s="118">
        <f>Q100-0.25</f>
        <v>2.75</v>
      </c>
      <c r="R99" s="119">
        <f aca="true" t="shared" si="31" ref="R99:Z102">R$97-($B$95/$E99)</f>
        <v>-393.88102616103515</v>
      </c>
      <c r="S99" s="119">
        <f t="shared" si="31"/>
        <v>-193.88102616103515</v>
      </c>
      <c r="T99" s="119">
        <f t="shared" si="31"/>
        <v>6.118973838964848</v>
      </c>
      <c r="U99" s="119">
        <f t="shared" si="31"/>
        <v>206.11897383896485</v>
      </c>
      <c r="V99" s="119">
        <f t="shared" si="31"/>
        <v>406.11897383896485</v>
      </c>
      <c r="W99" s="119">
        <f t="shared" si="31"/>
        <v>606.1189738389648</v>
      </c>
      <c r="X99" s="119">
        <f t="shared" si="31"/>
        <v>806.1189738389648</v>
      </c>
      <c r="Y99" s="119">
        <f t="shared" si="31"/>
        <v>1006.1189738389648</v>
      </c>
      <c r="Z99" s="119">
        <f t="shared" si="31"/>
        <v>1206.1189738389648</v>
      </c>
    </row>
    <row r="100" spans="1:26" ht="13.5" customHeight="1" thickBot="1">
      <c r="A100" s="116"/>
      <c r="B100" s="117"/>
      <c r="C100" s="154"/>
      <c r="D100" s="200"/>
      <c r="E100" s="128">
        <f>B99</f>
        <v>3</v>
      </c>
      <c r="F100" s="119">
        <f t="shared" si="30"/>
        <v>-951.1202323558796</v>
      </c>
      <c r="G100" s="119">
        <f t="shared" si="30"/>
        <v>-751.1202323558796</v>
      </c>
      <c r="H100" s="119">
        <f t="shared" si="30"/>
        <v>-551.1202323558796</v>
      </c>
      <c r="I100" s="119">
        <f t="shared" si="30"/>
        <v>-351.1202323558796</v>
      </c>
      <c r="J100" s="119">
        <f t="shared" si="30"/>
        <v>-151.12023235587958</v>
      </c>
      <c r="K100" s="119">
        <f t="shared" si="30"/>
        <v>48.87976764412042</v>
      </c>
      <c r="L100" s="119">
        <f t="shared" si="30"/>
        <v>248.87976764412042</v>
      </c>
      <c r="M100" s="119">
        <f t="shared" si="30"/>
        <v>448.8797676441204</v>
      </c>
      <c r="N100" s="119">
        <f t="shared" si="30"/>
        <v>648.8797676441204</v>
      </c>
      <c r="P100" s="200"/>
      <c r="Q100" s="128">
        <f>E100</f>
        <v>3</v>
      </c>
      <c r="R100" s="119">
        <f t="shared" si="31"/>
        <v>-224.6409406476157</v>
      </c>
      <c r="S100" s="119">
        <f t="shared" si="31"/>
        <v>-24.640940647615707</v>
      </c>
      <c r="T100" s="119">
        <f t="shared" si="31"/>
        <v>175.3590593523843</v>
      </c>
      <c r="U100" s="119">
        <f t="shared" si="31"/>
        <v>375.3590593523843</v>
      </c>
      <c r="V100" s="119">
        <f t="shared" si="31"/>
        <v>575.3590593523843</v>
      </c>
      <c r="W100" s="119">
        <f t="shared" si="31"/>
        <v>775.3590593523843</v>
      </c>
      <c r="X100" s="119">
        <f t="shared" si="31"/>
        <v>975.3590593523843</v>
      </c>
      <c r="Y100" s="119">
        <f t="shared" si="31"/>
        <v>1175.3590593523843</v>
      </c>
      <c r="Z100" s="119">
        <f t="shared" si="31"/>
        <v>1375.3590593523843</v>
      </c>
    </row>
    <row r="101" spans="1:26" ht="13.5" customHeight="1" thickBot="1">
      <c r="A101" s="129" t="s">
        <v>72</v>
      </c>
      <c r="B101" s="156">
        <f>B7</f>
        <v>2500</v>
      </c>
      <c r="C101" s="154"/>
      <c r="D101" s="200"/>
      <c r="E101" s="118">
        <f>E100+0.25</f>
        <v>3.25</v>
      </c>
      <c r="F101" s="119">
        <f t="shared" si="30"/>
        <v>-752.0340606361965</v>
      </c>
      <c r="G101" s="119">
        <f t="shared" si="30"/>
        <v>-552.0340606361965</v>
      </c>
      <c r="H101" s="119">
        <f t="shared" si="30"/>
        <v>-352.0340606361965</v>
      </c>
      <c r="I101" s="119">
        <f t="shared" si="30"/>
        <v>-152.0340606361965</v>
      </c>
      <c r="J101" s="119">
        <f t="shared" si="30"/>
        <v>47.9659393638035</v>
      </c>
      <c r="K101" s="119">
        <f t="shared" si="30"/>
        <v>247.9659393638035</v>
      </c>
      <c r="L101" s="119">
        <f t="shared" si="30"/>
        <v>447.9659393638035</v>
      </c>
      <c r="M101" s="119">
        <f t="shared" si="30"/>
        <v>647.9659393638035</v>
      </c>
      <c r="N101" s="119">
        <f t="shared" si="30"/>
        <v>847.9659393638035</v>
      </c>
      <c r="P101" s="200"/>
      <c r="Q101" s="118">
        <f>Q100+0.25</f>
        <v>3.25</v>
      </c>
      <c r="R101" s="119">
        <f t="shared" si="31"/>
        <v>-81.43779136702983</v>
      </c>
      <c r="S101" s="119">
        <f t="shared" si="31"/>
        <v>118.56220863297017</v>
      </c>
      <c r="T101" s="119">
        <f t="shared" si="31"/>
        <v>318.56220863297017</v>
      </c>
      <c r="U101" s="119">
        <f t="shared" si="31"/>
        <v>518.5622086329702</v>
      </c>
      <c r="V101" s="119">
        <f t="shared" si="31"/>
        <v>718.5622086329702</v>
      </c>
      <c r="W101" s="119">
        <f t="shared" si="31"/>
        <v>918.5622086329702</v>
      </c>
      <c r="X101" s="119">
        <f t="shared" si="31"/>
        <v>1118.5622086329702</v>
      </c>
      <c r="Y101" s="119">
        <f t="shared" si="31"/>
        <v>1318.5622086329702</v>
      </c>
      <c r="Z101" s="119">
        <f t="shared" si="31"/>
        <v>1518.5622086329702</v>
      </c>
    </row>
    <row r="102" spans="1:26" ht="13.5" customHeight="1" thickBot="1">
      <c r="A102" s="131" t="s">
        <v>61</v>
      </c>
      <c r="B102" s="130">
        <f>D7</f>
        <v>63</v>
      </c>
      <c r="C102" s="157"/>
      <c r="D102" s="201"/>
      <c r="E102" s="118">
        <f>E101+0.25</f>
        <v>3.5</v>
      </c>
      <c r="F102" s="119">
        <f t="shared" si="30"/>
        <v>-581.3887705907541</v>
      </c>
      <c r="G102" s="119">
        <f>G$97-($B$97/$E102)</f>
        <v>-381.3887705907541</v>
      </c>
      <c r="H102" s="119">
        <f t="shared" si="30"/>
        <v>-181.38877059075412</v>
      </c>
      <c r="I102" s="119">
        <f t="shared" si="30"/>
        <v>18.61122940924588</v>
      </c>
      <c r="J102" s="119">
        <f t="shared" si="30"/>
        <v>218.61122940924588</v>
      </c>
      <c r="K102" s="119">
        <f t="shared" si="30"/>
        <v>418.6112294092459</v>
      </c>
      <c r="L102" s="119">
        <f t="shared" si="30"/>
        <v>618.6112294092459</v>
      </c>
      <c r="M102" s="119">
        <f t="shared" si="30"/>
        <v>818.6112294092459</v>
      </c>
      <c r="N102" s="119">
        <f>N$97-($B$97/$E102)</f>
        <v>1018.6112294092459</v>
      </c>
      <c r="P102" s="201"/>
      <c r="Q102" s="118">
        <f>Q101+0.25</f>
        <v>3.5</v>
      </c>
      <c r="R102" s="119">
        <f t="shared" si="31"/>
        <v>41.3077651591866</v>
      </c>
      <c r="S102" s="119">
        <f>S$97-($B$95/$E102)</f>
        <v>241.3077651591866</v>
      </c>
      <c r="T102" s="119">
        <f t="shared" si="31"/>
        <v>441.3077651591866</v>
      </c>
      <c r="U102" s="119">
        <f t="shared" si="31"/>
        <v>641.3077651591866</v>
      </c>
      <c r="V102" s="119">
        <f t="shared" si="31"/>
        <v>841.3077651591866</v>
      </c>
      <c r="W102" s="119">
        <f t="shared" si="31"/>
        <v>1041.3077651591866</v>
      </c>
      <c r="X102" s="119">
        <f t="shared" si="31"/>
        <v>1241.3077651591866</v>
      </c>
      <c r="Y102" s="119">
        <f t="shared" si="31"/>
        <v>1441.3077651591866</v>
      </c>
      <c r="Z102" s="119">
        <f t="shared" si="31"/>
        <v>1641.3077651591866</v>
      </c>
    </row>
    <row r="103" spans="1:3" ht="13.5" customHeight="1" thickBot="1">
      <c r="A103" s="136" t="s">
        <v>62</v>
      </c>
      <c r="B103" s="164">
        <f>B101-B102</f>
        <v>2437</v>
      </c>
      <c r="C103" s="157"/>
    </row>
  </sheetData>
  <sheetProtection selectLockedCells="1"/>
  <mergeCells count="63">
    <mergeCell ref="D16:N16"/>
    <mergeCell ref="P16:Z16"/>
    <mergeCell ref="D18:E18"/>
    <mergeCell ref="P18:Q18"/>
    <mergeCell ref="D19:E19"/>
    <mergeCell ref="P19:Q19"/>
    <mergeCell ref="D20:D24"/>
    <mergeCell ref="P20:P24"/>
    <mergeCell ref="D29:N29"/>
    <mergeCell ref="P29:Z29"/>
    <mergeCell ref="D31:E31"/>
    <mergeCell ref="P31:Q31"/>
    <mergeCell ref="D32:E32"/>
    <mergeCell ref="P32:Q32"/>
    <mergeCell ref="D33:D37"/>
    <mergeCell ref="P33:P37"/>
    <mergeCell ref="D42:N42"/>
    <mergeCell ref="P42:Z42"/>
    <mergeCell ref="D44:E44"/>
    <mergeCell ref="P44:Q44"/>
    <mergeCell ref="D45:E45"/>
    <mergeCell ref="P45:Q45"/>
    <mergeCell ref="D46:D50"/>
    <mergeCell ref="P46:P50"/>
    <mergeCell ref="D55:N55"/>
    <mergeCell ref="P55:Z55"/>
    <mergeCell ref="D57:E57"/>
    <mergeCell ref="P57:Q57"/>
    <mergeCell ref="D58:E58"/>
    <mergeCell ref="P58:Q58"/>
    <mergeCell ref="D59:D63"/>
    <mergeCell ref="P59:P63"/>
    <mergeCell ref="D68:N68"/>
    <mergeCell ref="P68:Z68"/>
    <mergeCell ref="D70:E70"/>
    <mergeCell ref="P70:Q70"/>
    <mergeCell ref="D71:E71"/>
    <mergeCell ref="P71:Q71"/>
    <mergeCell ref="D72:D76"/>
    <mergeCell ref="P72:P76"/>
    <mergeCell ref="D81:N81"/>
    <mergeCell ref="P81:Z81"/>
    <mergeCell ref="D83:E83"/>
    <mergeCell ref="P83:Q83"/>
    <mergeCell ref="D84:E84"/>
    <mergeCell ref="P84:Q84"/>
    <mergeCell ref="D85:D89"/>
    <mergeCell ref="P85:P89"/>
    <mergeCell ref="D98:D102"/>
    <mergeCell ref="P98:P102"/>
    <mergeCell ref="D94:N94"/>
    <mergeCell ref="P94:Z94"/>
    <mergeCell ref="D96:E96"/>
    <mergeCell ref="P96:Q96"/>
    <mergeCell ref="D97:E97"/>
    <mergeCell ref="P97:Q97"/>
    <mergeCell ref="A93:B93"/>
    <mergeCell ref="A15:B15"/>
    <mergeCell ref="A28:B28"/>
    <mergeCell ref="A41:B41"/>
    <mergeCell ref="A54:B54"/>
    <mergeCell ref="A67:B67"/>
    <mergeCell ref="A80:B80"/>
  </mergeCells>
  <conditionalFormatting sqref="F20:N24">
    <cfRule type="cellIs" priority="57" dxfId="0" operator="lessThan" stopIfTrue="1">
      <formula>1</formula>
    </cfRule>
    <cfRule type="cellIs" priority="58" dxfId="1" operator="greaterThan" stopIfTrue="1">
      <formula>1</formula>
    </cfRule>
    <cfRule type="cellIs" priority="59" dxfId="0" operator="lessThan" stopIfTrue="1">
      <formula>1</formula>
    </cfRule>
    <cfRule type="cellIs" priority="60" dxfId="1" operator="greaterThan" stopIfTrue="1">
      <formula>1</formula>
    </cfRule>
  </conditionalFormatting>
  <conditionalFormatting sqref="F85:N89">
    <cfRule type="cellIs" priority="53" dxfId="0" operator="lessThan" stopIfTrue="1">
      <formula>1</formula>
    </cfRule>
    <cfRule type="cellIs" priority="54" dxfId="1" operator="greaterThan" stopIfTrue="1">
      <formula>1</formula>
    </cfRule>
    <cfRule type="cellIs" priority="55" dxfId="0" operator="lessThan" stopIfTrue="1">
      <formula>1</formula>
    </cfRule>
    <cfRule type="cellIs" priority="56" dxfId="1" operator="greaterThan" stopIfTrue="1">
      <formula>1</formula>
    </cfRule>
  </conditionalFormatting>
  <conditionalFormatting sqref="R20:Z24">
    <cfRule type="cellIs" priority="49" dxfId="0" operator="lessThan" stopIfTrue="1">
      <formula>1</formula>
    </cfRule>
    <cfRule type="cellIs" priority="50" dxfId="1" operator="greaterThan" stopIfTrue="1">
      <formula>1</formula>
    </cfRule>
    <cfRule type="cellIs" priority="51" dxfId="0" operator="lessThan" stopIfTrue="1">
      <formula>1</formula>
    </cfRule>
    <cfRule type="cellIs" priority="52" dxfId="1" operator="greaterThan" stopIfTrue="1">
      <formula>1</formula>
    </cfRule>
  </conditionalFormatting>
  <conditionalFormatting sqref="R85:Z89">
    <cfRule type="cellIs" priority="45" dxfId="0" operator="lessThan" stopIfTrue="1">
      <formula>1</formula>
    </cfRule>
    <cfRule type="cellIs" priority="46" dxfId="1" operator="greaterThan" stopIfTrue="1">
      <formula>1</formula>
    </cfRule>
    <cfRule type="cellIs" priority="47" dxfId="0" operator="lessThan" stopIfTrue="1">
      <formula>1</formula>
    </cfRule>
    <cfRule type="cellIs" priority="48" dxfId="1" operator="greaterThan" stopIfTrue="1">
      <formula>1</formula>
    </cfRule>
  </conditionalFormatting>
  <conditionalFormatting sqref="F72:N76">
    <cfRule type="cellIs" priority="41" dxfId="0" operator="lessThan" stopIfTrue="1">
      <formula>1</formula>
    </cfRule>
    <cfRule type="cellIs" priority="42" dxfId="1" operator="greaterThan" stopIfTrue="1">
      <formula>1</formula>
    </cfRule>
    <cfRule type="cellIs" priority="43" dxfId="0" operator="lessThan" stopIfTrue="1">
      <formula>1</formula>
    </cfRule>
    <cfRule type="cellIs" priority="44" dxfId="1" operator="greaterThan" stopIfTrue="1">
      <formula>1</formula>
    </cfRule>
  </conditionalFormatting>
  <conditionalFormatting sqref="R72:Z76">
    <cfRule type="cellIs" priority="37" dxfId="0" operator="lessThan" stopIfTrue="1">
      <formula>1</formula>
    </cfRule>
    <cfRule type="cellIs" priority="38" dxfId="1" operator="greaterThan" stopIfTrue="1">
      <formula>1</formula>
    </cfRule>
    <cfRule type="cellIs" priority="39" dxfId="0" operator="lessThan" stopIfTrue="1">
      <formula>1</formula>
    </cfRule>
    <cfRule type="cellIs" priority="40" dxfId="1" operator="greaterThan" stopIfTrue="1">
      <formula>1</formula>
    </cfRule>
  </conditionalFormatting>
  <conditionalFormatting sqref="F33:N37">
    <cfRule type="cellIs" priority="33" dxfId="0" operator="lessThan" stopIfTrue="1">
      <formula>1</formula>
    </cfRule>
    <cfRule type="cellIs" priority="34" dxfId="1" operator="greaterThan" stopIfTrue="1">
      <formula>1</formula>
    </cfRule>
    <cfRule type="cellIs" priority="35" dxfId="0" operator="lessThan" stopIfTrue="1">
      <formula>1</formula>
    </cfRule>
    <cfRule type="cellIs" priority="36" dxfId="1" operator="greaterThan" stopIfTrue="1">
      <formula>1</formula>
    </cfRule>
  </conditionalFormatting>
  <conditionalFormatting sqref="R33:Z37">
    <cfRule type="cellIs" priority="29" dxfId="0" operator="lessThan" stopIfTrue="1">
      <formula>1</formula>
    </cfRule>
    <cfRule type="cellIs" priority="30" dxfId="1" operator="greaterThan" stopIfTrue="1">
      <formula>1</formula>
    </cfRule>
    <cfRule type="cellIs" priority="31" dxfId="0" operator="lessThan" stopIfTrue="1">
      <formula>1</formula>
    </cfRule>
    <cfRule type="cellIs" priority="32" dxfId="1" operator="greaterThan" stopIfTrue="1">
      <formula>1</formula>
    </cfRule>
  </conditionalFormatting>
  <conditionalFormatting sqref="F46:N50">
    <cfRule type="cellIs" priority="25" dxfId="0" operator="lessThan" stopIfTrue="1">
      <formula>1</formula>
    </cfRule>
    <cfRule type="cellIs" priority="26" dxfId="1" operator="greaterThan" stopIfTrue="1">
      <formula>1</formula>
    </cfRule>
    <cfRule type="cellIs" priority="27" dxfId="0" operator="lessThan" stopIfTrue="1">
      <formula>1</formula>
    </cfRule>
    <cfRule type="cellIs" priority="28" dxfId="1" operator="greaterThan" stopIfTrue="1">
      <formula>1</formula>
    </cfRule>
  </conditionalFormatting>
  <conditionalFormatting sqref="R46:Z50">
    <cfRule type="cellIs" priority="21" dxfId="0" operator="lessThan" stopIfTrue="1">
      <formula>1</formula>
    </cfRule>
    <cfRule type="cellIs" priority="22" dxfId="1" operator="greaterThan" stopIfTrue="1">
      <formula>1</formula>
    </cfRule>
    <cfRule type="cellIs" priority="23" dxfId="0" operator="lessThan" stopIfTrue="1">
      <formula>1</formula>
    </cfRule>
    <cfRule type="cellIs" priority="24" dxfId="1" operator="greaterThan" stopIfTrue="1">
      <formula>1</formula>
    </cfRule>
  </conditionalFormatting>
  <conditionalFormatting sqref="F59:N63">
    <cfRule type="cellIs" priority="17" dxfId="0" operator="lessThan" stopIfTrue="1">
      <formula>1</formula>
    </cfRule>
    <cfRule type="cellIs" priority="18" dxfId="1" operator="greaterThan" stopIfTrue="1">
      <formula>1</formula>
    </cfRule>
    <cfRule type="cellIs" priority="19" dxfId="0" operator="lessThan" stopIfTrue="1">
      <formula>1</formula>
    </cfRule>
    <cfRule type="cellIs" priority="20" dxfId="1" operator="greaterThan" stopIfTrue="1">
      <formula>1</formula>
    </cfRule>
  </conditionalFormatting>
  <conditionalFormatting sqref="R59:Z63">
    <cfRule type="cellIs" priority="13" dxfId="0" operator="lessThan" stopIfTrue="1">
      <formula>1</formula>
    </cfRule>
    <cfRule type="cellIs" priority="14" dxfId="1" operator="greaterThan" stopIfTrue="1">
      <formula>1</formula>
    </cfRule>
    <cfRule type="cellIs" priority="15" dxfId="0" operator="lessThan" stopIfTrue="1">
      <formula>1</formula>
    </cfRule>
    <cfRule type="cellIs" priority="16" dxfId="1" operator="greaterThan" stopIfTrue="1">
      <formula>1</formula>
    </cfRule>
  </conditionalFormatting>
  <conditionalFormatting sqref="F98:N102">
    <cfRule type="cellIs" priority="9" dxfId="0" operator="lessThan" stopIfTrue="1">
      <formula>1</formula>
    </cfRule>
    <cfRule type="cellIs" priority="10" dxfId="1" operator="greaterThan" stopIfTrue="1">
      <formula>1</formula>
    </cfRule>
    <cfRule type="cellIs" priority="11" dxfId="0" operator="lessThan" stopIfTrue="1">
      <formula>1</formula>
    </cfRule>
    <cfRule type="cellIs" priority="12" dxfId="1" operator="greaterThan" stopIfTrue="1">
      <formula>1</formula>
    </cfRule>
  </conditionalFormatting>
  <conditionalFormatting sqref="R98:Z102">
    <cfRule type="cellIs" priority="1" dxfId="0" operator="lessThan" stopIfTrue="1">
      <formula>1</formula>
    </cfRule>
    <cfRule type="cellIs" priority="2" dxfId="1" operator="greaterThan" stopIfTrue="1">
      <formula>1</formula>
    </cfRule>
    <cfRule type="cellIs" priority="3" dxfId="0" operator="lessThan" stopIfTrue="1">
      <formula>1</formula>
    </cfRule>
    <cfRule type="cellIs" priority="4" dxfId="1" operator="greaterThan" stopIfTrue="1">
      <formula>1</formula>
    </cfRule>
  </conditionalFormatting>
  <dataValidations count="7">
    <dataValidation type="list" allowBlank="1" showInputMessage="1" showErrorMessage="1" sqref="B99">
      <formula1>Sorgopbrengspeil</formula1>
    </dataValidation>
    <dataValidation type="list" allowBlank="1" showInputMessage="1" showErrorMessage="1" sqref="B86">
      <formula1>Sojaopbrengspeil</formula1>
    </dataValidation>
    <dataValidation type="list" allowBlank="1" showInputMessage="1" showErrorMessage="1" sqref="B73">
      <formula1>Sonopbrengspeil</formula1>
    </dataValidation>
    <dataValidation type="list" allowBlank="1" showInputMessage="1" showErrorMessage="1" sqref="B60">
      <formula1>Verminopbrengspeil</formula1>
    </dataValidation>
    <dataValidation type="list" allowBlank="1" showInputMessage="1" showErrorMessage="1" sqref="B47">
      <formula1>BTopbrengspeil</formula1>
    </dataValidation>
    <dataValidation type="list" allowBlank="1" showInputMessage="1" showErrorMessage="1" sqref="B34">
      <formula1>RRHpbrengspeil</formula1>
    </dataValidation>
    <dataValidation type="list" allowBlank="1" showInputMessage="1" showErrorMessage="1" sqref="B21">
      <formula1>RRLopbrengspeil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3">
      <selection activeCell="K25" sqref="K25"/>
    </sheetView>
  </sheetViews>
  <sheetFormatPr defaultColWidth="9.140625" defaultRowHeight="12.75"/>
  <cols>
    <col min="1" max="1" width="41.7109375" style="1" customWidth="1"/>
    <col min="2" max="2" width="18.00390625" style="1" customWidth="1"/>
    <col min="3" max="3" width="17.28125" style="1" customWidth="1"/>
    <col min="4" max="4" width="16.140625" style="1" customWidth="1"/>
    <col min="5" max="9" width="14.28125" style="1" customWidth="1"/>
    <col min="10" max="10" width="14.421875" style="1" customWidth="1"/>
    <col min="11" max="12" width="12.7109375" style="1" customWidth="1"/>
    <col min="13" max="15" width="12.7109375" style="1" hidden="1" customWidth="1"/>
    <col min="16" max="26" width="12.7109375" style="1" customWidth="1"/>
    <col min="27" max="16384" width="9.140625" style="1" customWidth="1"/>
  </cols>
  <sheetData>
    <row r="1" spans="1:10" s="3" customFormat="1" ht="29.25" customHeight="1" thickBot="1">
      <c r="A1" s="220" t="s">
        <v>5</v>
      </c>
      <c r="B1" s="221"/>
      <c r="C1" s="221"/>
      <c r="D1" s="221"/>
      <c r="E1" s="222" t="s">
        <v>115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11" ht="27.75" customHeight="1" thickBot="1">
      <c r="A3" s="234" t="s">
        <v>6</v>
      </c>
      <c r="B3" s="223"/>
      <c r="C3" s="223"/>
      <c r="D3" s="30"/>
      <c r="E3" s="40">
        <f>'Pryse + Sensatiwiteitsanali'!B103</f>
        <v>2437</v>
      </c>
      <c r="F3" s="30" t="s">
        <v>0</v>
      </c>
      <c r="G3" s="19"/>
      <c r="H3" s="19"/>
      <c r="I3" s="5"/>
      <c r="K3" s="3"/>
    </row>
    <row r="4" spans="1:11" ht="13.5" thickBot="1">
      <c r="A4" s="64"/>
      <c r="B4" s="77"/>
      <c r="C4" s="77"/>
      <c r="D4" s="6"/>
      <c r="E4" s="9"/>
      <c r="F4" s="20"/>
      <c r="G4" s="7"/>
      <c r="H4" s="21"/>
      <c r="I4" s="21"/>
      <c r="J4" s="3"/>
      <c r="K4" s="14"/>
    </row>
    <row r="5" spans="1:11" ht="13.5" thickBot="1">
      <c r="A5" s="64" t="s">
        <v>7</v>
      </c>
      <c r="B5" s="77"/>
      <c r="C5" s="77"/>
      <c r="D5" s="41">
        <v>2</v>
      </c>
      <c r="E5" s="41">
        <v>2.5</v>
      </c>
      <c r="F5" s="41">
        <v>3</v>
      </c>
      <c r="G5" s="41">
        <v>3.5</v>
      </c>
      <c r="H5" s="41">
        <v>4</v>
      </c>
      <c r="I5" s="22"/>
      <c r="J5" s="3"/>
      <c r="K5" s="14"/>
    </row>
    <row r="6" spans="1:11" ht="13.5" thickBot="1">
      <c r="A6" s="65" t="s">
        <v>8</v>
      </c>
      <c r="B6" s="78"/>
      <c r="C6" s="79"/>
      <c r="D6" s="37">
        <f aca="true" t="shared" si="0" ref="D6:I6">$E$3*D5</f>
        <v>4874</v>
      </c>
      <c r="E6" s="37">
        <f t="shared" si="0"/>
        <v>6092.5</v>
      </c>
      <c r="F6" s="37">
        <f t="shared" si="0"/>
        <v>7311</v>
      </c>
      <c r="G6" s="37">
        <f t="shared" si="0"/>
        <v>8529.5</v>
      </c>
      <c r="H6" s="37">
        <f t="shared" si="0"/>
        <v>9748</v>
      </c>
      <c r="I6" s="37">
        <f t="shared" si="0"/>
        <v>0</v>
      </c>
      <c r="J6" s="3"/>
      <c r="K6" s="14"/>
    </row>
    <row r="7" spans="1:15" ht="15.75" thickBot="1">
      <c r="A7" s="67"/>
      <c r="B7" s="68"/>
      <c r="C7" s="68"/>
      <c r="D7" s="42"/>
      <c r="E7" s="23"/>
      <c r="F7" s="23"/>
      <c r="G7" s="23"/>
      <c r="H7" s="23"/>
      <c r="I7" s="23"/>
      <c r="J7" s="3"/>
      <c r="K7" s="14"/>
      <c r="M7" s="210" t="s">
        <v>104</v>
      </c>
      <c r="N7" s="210"/>
      <c r="O7" s="210"/>
    </row>
    <row r="8" spans="1:15" ht="15.75" thickBot="1">
      <c r="A8" s="228" t="s">
        <v>9</v>
      </c>
      <c r="B8" s="229"/>
      <c r="C8" s="230"/>
      <c r="D8" s="43"/>
      <c r="E8" s="24"/>
      <c r="F8" s="24"/>
      <c r="G8" s="24"/>
      <c r="H8" s="24"/>
      <c r="I8" s="24"/>
      <c r="J8" s="3"/>
      <c r="K8" s="14"/>
      <c r="M8" s="187" t="s">
        <v>95</v>
      </c>
      <c r="N8" s="187" t="s">
        <v>96</v>
      </c>
      <c r="O8" s="187" t="s">
        <v>97</v>
      </c>
    </row>
    <row r="9" spans="1:15" ht="12" customHeight="1">
      <c r="A9" s="69" t="s">
        <v>10</v>
      </c>
      <c r="B9" s="70"/>
      <c r="C9" s="70"/>
      <c r="D9" s="195">
        <v>308.8</v>
      </c>
      <c r="E9" s="195">
        <v>347.40000000000003</v>
      </c>
      <c r="F9" s="195">
        <v>386</v>
      </c>
      <c r="G9" s="195">
        <v>386</v>
      </c>
      <c r="H9" s="195">
        <v>424.6</v>
      </c>
      <c r="I9" s="31"/>
      <c r="J9" s="3"/>
      <c r="K9" s="14"/>
      <c r="M9" s="188">
        <f>D5</f>
        <v>2</v>
      </c>
      <c r="N9" s="188">
        <f>D25</f>
        <v>5493.416912279568</v>
      </c>
      <c r="O9" s="188">
        <f>D27</f>
        <v>2182.9339999999997</v>
      </c>
    </row>
    <row r="10" spans="1:15" ht="12" customHeight="1">
      <c r="A10" s="66" t="s">
        <v>11</v>
      </c>
      <c r="B10" s="71"/>
      <c r="C10" s="71"/>
      <c r="D10" s="196">
        <v>976.9000000000001</v>
      </c>
      <c r="E10" s="196">
        <v>1221.125</v>
      </c>
      <c r="F10" s="196">
        <v>1465.35</v>
      </c>
      <c r="G10" s="196">
        <v>1709.575</v>
      </c>
      <c r="H10" s="196">
        <v>1953.8000000000002</v>
      </c>
      <c r="I10" s="32"/>
      <c r="J10" s="3"/>
      <c r="K10" s="14"/>
      <c r="M10" s="188">
        <f>E5</f>
        <v>2.5</v>
      </c>
      <c r="N10" s="188">
        <f>E25</f>
        <v>5800.362943495837</v>
      </c>
      <c r="O10" s="188">
        <f>E27</f>
        <v>2182.9339999999997</v>
      </c>
    </row>
    <row r="11" spans="1:15" ht="12" customHeight="1">
      <c r="A11" s="66" t="s">
        <v>12</v>
      </c>
      <c r="B11" s="71"/>
      <c r="C11" s="71"/>
      <c r="D11" s="196">
        <v>556.5000000000001</v>
      </c>
      <c r="E11" s="196">
        <v>556.5000000000001</v>
      </c>
      <c r="F11" s="196">
        <v>556.5000000000001</v>
      </c>
      <c r="G11" s="196">
        <v>556.5000000000001</v>
      </c>
      <c r="H11" s="196">
        <v>556.5000000000001</v>
      </c>
      <c r="I11" s="32"/>
      <c r="J11" s="3"/>
      <c r="K11" s="14"/>
      <c r="M11" s="188">
        <f>F5</f>
        <v>3</v>
      </c>
      <c r="N11" s="188">
        <f>F25</f>
        <v>6347.531062037372</v>
      </c>
      <c r="O11" s="188">
        <f>F27</f>
        <v>2182.9339999999997</v>
      </c>
    </row>
    <row r="12" spans="1:15" ht="12" customHeight="1">
      <c r="A12" s="66" t="s">
        <v>13</v>
      </c>
      <c r="B12" s="71"/>
      <c r="C12" s="71"/>
      <c r="D12" s="196">
        <v>907.2447186056132</v>
      </c>
      <c r="E12" s="196">
        <v>816.895479042342</v>
      </c>
      <c r="F12" s="196">
        <v>937.4752091160512</v>
      </c>
      <c r="G12" s="196">
        <v>952.5904543712702</v>
      </c>
      <c r="H12" s="196">
        <v>967.7056996264891</v>
      </c>
      <c r="I12" s="32"/>
      <c r="J12" s="3"/>
      <c r="K12" s="14"/>
      <c r="M12" s="188">
        <f>G5</f>
        <v>3.5</v>
      </c>
      <c r="N12" s="188">
        <f>G25</f>
        <v>6730.627496579795</v>
      </c>
      <c r="O12" s="188">
        <f>G27</f>
        <v>2182.9339999999997</v>
      </c>
    </row>
    <row r="13" spans="1:15" ht="12" customHeight="1">
      <c r="A13" s="66" t="s">
        <v>14</v>
      </c>
      <c r="B13" s="71"/>
      <c r="C13" s="71"/>
      <c r="D13" s="196">
        <v>707.9603</v>
      </c>
      <c r="E13" s="196">
        <v>711.0253</v>
      </c>
      <c r="F13" s="196">
        <v>714.0903000000001</v>
      </c>
      <c r="G13" s="196">
        <v>717.1553</v>
      </c>
      <c r="H13" s="196">
        <v>720.2203000000001</v>
      </c>
      <c r="I13" s="32"/>
      <c r="J13" s="3"/>
      <c r="K13" s="14"/>
      <c r="M13" s="188">
        <f>H5</f>
        <v>4</v>
      </c>
      <c r="N13" s="188">
        <f>H25</f>
        <v>7157.684571458697</v>
      </c>
      <c r="O13" s="188">
        <f>H27</f>
        <v>2182.9339999999997</v>
      </c>
    </row>
    <row r="14" spans="1:15" ht="12" customHeight="1">
      <c r="A14" s="66" t="s">
        <v>15</v>
      </c>
      <c r="B14" s="71"/>
      <c r="C14" s="71"/>
      <c r="D14" s="196">
        <v>553.19</v>
      </c>
      <c r="E14" s="196">
        <v>553.19</v>
      </c>
      <c r="F14" s="196">
        <v>553.19</v>
      </c>
      <c r="G14" s="196">
        <v>553.19</v>
      </c>
      <c r="H14" s="196">
        <v>553.19</v>
      </c>
      <c r="I14" s="32"/>
      <c r="J14" s="3"/>
      <c r="K14" s="14"/>
      <c r="M14" s="188">
        <f>I5</f>
        <v>0</v>
      </c>
      <c r="N14" s="188">
        <f>I25</f>
        <v>0</v>
      </c>
      <c r="O14" s="188">
        <f>I27</f>
        <v>0</v>
      </c>
    </row>
    <row r="15" spans="1:11" ht="12" customHeight="1">
      <c r="A15" s="66" t="s">
        <v>16</v>
      </c>
      <c r="B15" s="71"/>
      <c r="C15" s="71"/>
      <c r="D15" s="196">
        <v>517.0418</v>
      </c>
      <c r="E15" s="196">
        <v>517.0418</v>
      </c>
      <c r="F15" s="196">
        <v>517.0418</v>
      </c>
      <c r="G15" s="196">
        <v>517.0418</v>
      </c>
      <c r="H15" s="196">
        <v>517.0418</v>
      </c>
      <c r="I15" s="32"/>
      <c r="J15" s="3"/>
      <c r="K15" s="14"/>
    </row>
    <row r="16" spans="1:11" ht="12" customHeight="1">
      <c r="A16" s="66" t="s">
        <v>17</v>
      </c>
      <c r="B16" s="71"/>
      <c r="C16" s="71"/>
      <c r="D16" s="196">
        <v>95.043</v>
      </c>
      <c r="E16" s="196">
        <v>118.80375000000001</v>
      </c>
      <c r="F16" s="196">
        <v>142.56449999999998</v>
      </c>
      <c r="G16" s="196">
        <v>166.32525</v>
      </c>
      <c r="H16" s="196">
        <v>190.086</v>
      </c>
      <c r="I16" s="32"/>
      <c r="J16" s="3"/>
      <c r="K16" s="14"/>
    </row>
    <row r="17" spans="1:11" ht="12" customHeight="1">
      <c r="A17" s="66" t="s">
        <v>18</v>
      </c>
      <c r="B17" s="71"/>
      <c r="C17" s="71"/>
      <c r="D17" s="196">
        <v>428.7328533939773</v>
      </c>
      <c r="E17" s="196">
        <v>459.0700721413493</v>
      </c>
      <c r="F17" s="196">
        <v>506.71783414986055</v>
      </c>
      <c r="G17" s="196">
        <v>542.5424952294846</v>
      </c>
      <c r="H17" s="196">
        <v>581.5349856074263</v>
      </c>
      <c r="I17" s="32"/>
      <c r="J17" s="3"/>
      <c r="K17" s="14"/>
    </row>
    <row r="18" spans="1:11" ht="12" customHeight="1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32"/>
      <c r="J18" s="3"/>
      <c r="K18" s="14"/>
    </row>
    <row r="19" spans="1:11" ht="12" customHeight="1">
      <c r="A19" s="66" t="s">
        <v>20</v>
      </c>
      <c r="B19" s="71"/>
      <c r="C19" s="71"/>
      <c r="D19" s="196">
        <v>145.23</v>
      </c>
      <c r="E19" s="196">
        <v>181.5375</v>
      </c>
      <c r="F19" s="196">
        <v>217.845</v>
      </c>
      <c r="G19" s="196">
        <v>254.1525</v>
      </c>
      <c r="H19" s="196">
        <v>290.46</v>
      </c>
      <c r="I19" s="32"/>
      <c r="J19" s="3"/>
      <c r="K19" s="14"/>
    </row>
    <row r="20" spans="1:11" ht="12" customHeight="1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32"/>
      <c r="J20" s="3"/>
      <c r="K20" s="14"/>
    </row>
    <row r="21" spans="1:11" ht="12" customHeight="1">
      <c r="A21" s="66" t="s">
        <v>22</v>
      </c>
      <c r="B21" s="71"/>
      <c r="C21" s="71"/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32"/>
      <c r="J21" s="3"/>
      <c r="K21" s="14"/>
    </row>
    <row r="22" spans="1:11" ht="12" customHeight="1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32"/>
      <c r="J22" s="3"/>
      <c r="K22" s="14"/>
    </row>
    <row r="23" spans="1:11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32"/>
      <c r="J23" s="3"/>
      <c r="K23" s="14"/>
    </row>
    <row r="24" spans="1:11" ht="13.5" thickBot="1">
      <c r="A24" s="66" t="s">
        <v>25</v>
      </c>
      <c r="B24" s="71"/>
      <c r="C24" s="71"/>
      <c r="D24" s="196">
        <v>296.7742402799784</v>
      </c>
      <c r="E24" s="196">
        <v>317.7740423121438</v>
      </c>
      <c r="F24" s="196">
        <v>350.7564187714604</v>
      </c>
      <c r="G24" s="196">
        <v>375.5546969790396</v>
      </c>
      <c r="H24" s="196">
        <v>402.54578622478056</v>
      </c>
      <c r="I24" s="32"/>
      <c r="J24" s="3"/>
      <c r="K24" s="14"/>
    </row>
    <row r="25" spans="1:11" ht="29.25" customHeight="1" thickBot="1">
      <c r="A25" s="207" t="s">
        <v>26</v>
      </c>
      <c r="B25" s="208"/>
      <c r="C25" s="209"/>
      <c r="D25" s="33">
        <f>SUM(D9:D24)</f>
        <v>5493.416912279568</v>
      </c>
      <c r="E25" s="33">
        <f>SUM(E9:E24)</f>
        <v>5800.362943495837</v>
      </c>
      <c r="F25" s="33">
        <f>SUM(F9:F24)</f>
        <v>6347.531062037372</v>
      </c>
      <c r="G25" s="33">
        <f>SUM(G9:G24)</f>
        <v>6730.627496579795</v>
      </c>
      <c r="H25" s="33">
        <f>SUM(H9:H24)</f>
        <v>7157.684571458697</v>
      </c>
      <c r="I25" s="8"/>
      <c r="J25" s="3"/>
      <c r="K25" s="14"/>
    </row>
    <row r="26" spans="1:11" ht="13.5" thickBot="1">
      <c r="A26" s="72"/>
      <c r="B26" s="73"/>
      <c r="C26" s="73"/>
      <c r="D26" s="34"/>
      <c r="E26" s="25"/>
      <c r="F26" s="25"/>
      <c r="G26" s="25"/>
      <c r="H26" s="25"/>
      <c r="I26" s="25"/>
      <c r="J26" s="3"/>
      <c r="K26" s="14"/>
    </row>
    <row r="27" spans="1:11" ht="13.5" thickBot="1">
      <c r="A27" s="231" t="s">
        <v>27</v>
      </c>
      <c r="B27" s="232"/>
      <c r="C27" s="233"/>
      <c r="D27" s="197">
        <v>2182.9339999999997</v>
      </c>
      <c r="E27" s="197">
        <v>2182.9339999999997</v>
      </c>
      <c r="F27" s="197">
        <v>2182.9339999999997</v>
      </c>
      <c r="G27" s="197">
        <v>2182.9339999999997</v>
      </c>
      <c r="H27" s="197">
        <v>2182.9339999999997</v>
      </c>
      <c r="I27" s="28"/>
      <c r="J27" s="27"/>
      <c r="K27" s="14"/>
    </row>
    <row r="28" spans="1:11" ht="13.5" thickBot="1">
      <c r="A28" s="72"/>
      <c r="B28" s="73"/>
      <c r="C28" s="73"/>
      <c r="D28" s="34"/>
      <c r="E28" s="25"/>
      <c r="F28" s="25"/>
      <c r="G28" s="25"/>
      <c r="H28" s="25"/>
      <c r="I28" s="25"/>
      <c r="J28" s="3"/>
      <c r="K28" s="14"/>
    </row>
    <row r="29" spans="1:11" ht="25.5" customHeight="1" thickBot="1">
      <c r="A29" s="207" t="s">
        <v>28</v>
      </c>
      <c r="B29" s="208"/>
      <c r="C29" s="209"/>
      <c r="D29" s="33">
        <f>D25+D27</f>
        <v>7676.350912279568</v>
      </c>
      <c r="E29" s="33">
        <f>E25+E27</f>
        <v>7983.296943495836</v>
      </c>
      <c r="F29" s="33">
        <f>F25+F27</f>
        <v>8530.465062037372</v>
      </c>
      <c r="G29" s="33">
        <f>G25+G27</f>
        <v>8913.561496579794</v>
      </c>
      <c r="H29" s="33">
        <f>H25+H27</f>
        <v>9340.618571458697</v>
      </c>
      <c r="I29" s="33"/>
      <c r="J29" s="3"/>
      <c r="K29" s="3"/>
    </row>
    <row r="30" spans="1:11" ht="12" customHeight="1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3"/>
    </row>
    <row r="31" spans="1:11" ht="24.75" customHeight="1" thickBot="1">
      <c r="A31" s="207" t="s">
        <v>29</v>
      </c>
      <c r="B31" s="223"/>
      <c r="C31" s="224"/>
      <c r="D31" s="33">
        <f>D29/D5</f>
        <v>3838.175456139784</v>
      </c>
      <c r="E31" s="33">
        <f>E29/E5</f>
        <v>3193.3187773983345</v>
      </c>
      <c r="F31" s="33">
        <f>F29/F5</f>
        <v>2843.4883540124574</v>
      </c>
      <c r="G31" s="33">
        <f>G29/G5</f>
        <v>2546.7318561656552</v>
      </c>
      <c r="H31" s="33">
        <f>H29/H5</f>
        <v>2335.1546428646743</v>
      </c>
      <c r="I31" s="33"/>
      <c r="J31" s="3"/>
      <c r="K31" s="3"/>
    </row>
    <row r="32" spans="1:11" ht="13.5" thickBot="1">
      <c r="A32" s="67"/>
      <c r="B32" s="68"/>
      <c r="C32" s="68"/>
      <c r="D32" s="36"/>
      <c r="E32" s="11"/>
      <c r="F32" s="11"/>
      <c r="G32" s="11"/>
      <c r="H32" s="11"/>
      <c r="I32" s="11"/>
      <c r="J32" s="3"/>
      <c r="K32" s="14"/>
    </row>
    <row r="33" spans="1:11" ht="14.25" customHeight="1" thickBot="1">
      <c r="A33" s="65" t="s">
        <v>30</v>
      </c>
      <c r="B33" s="78"/>
      <c r="C33" s="78"/>
      <c r="D33" s="33">
        <f>'Pryse + Sensatiwiteitsanali'!D7</f>
        <v>63</v>
      </c>
      <c r="E33" s="33">
        <f>$D$33</f>
        <v>63</v>
      </c>
      <c r="F33" s="33">
        <f>$D$33</f>
        <v>63</v>
      </c>
      <c r="G33" s="33">
        <f>$D$33</f>
        <v>63</v>
      </c>
      <c r="H33" s="33">
        <f>$D$33</f>
        <v>63</v>
      </c>
      <c r="I33" s="33"/>
      <c r="J33" s="3"/>
      <c r="K33" s="14"/>
    </row>
    <row r="34" spans="1:11" ht="13.5" thickBot="1">
      <c r="A34" s="67"/>
      <c r="B34" s="68"/>
      <c r="C34" s="68"/>
      <c r="D34" s="36"/>
      <c r="E34" s="36"/>
      <c r="F34" s="36"/>
      <c r="G34" s="36"/>
      <c r="H34" s="36"/>
      <c r="I34" s="36"/>
      <c r="J34" s="3"/>
      <c r="K34" s="14"/>
    </row>
    <row r="35" spans="1:11" ht="24.75" customHeight="1" thickBot="1">
      <c r="A35" s="234" t="s">
        <v>31</v>
      </c>
      <c r="B35" s="223"/>
      <c r="C35" s="224"/>
      <c r="D35" s="35">
        <f>D31+D33</f>
        <v>3901.175456139784</v>
      </c>
      <c r="E35" s="35">
        <f>E31+E33</f>
        <v>3256.3187773983345</v>
      </c>
      <c r="F35" s="35">
        <f>F31+F33</f>
        <v>2906.4883540124574</v>
      </c>
      <c r="G35" s="35">
        <f>G31+G33</f>
        <v>2609.7318561656552</v>
      </c>
      <c r="H35" s="35">
        <f>H31+H33</f>
        <v>2398.1546428646743</v>
      </c>
      <c r="I35" s="35"/>
      <c r="J35" s="3"/>
      <c r="K35" s="14"/>
    </row>
    <row r="36" spans="1:11" ht="13.5" thickBot="1">
      <c r="A36" s="74" t="s">
        <v>32</v>
      </c>
      <c r="B36" s="75"/>
      <c r="C36" s="76"/>
      <c r="D36" s="35">
        <f>'Pryse + Sensatiwiteitsanali'!B7</f>
        <v>2500</v>
      </c>
      <c r="E36" s="35">
        <f>$D$36</f>
        <v>2500</v>
      </c>
      <c r="F36" s="35">
        <f>$D$36</f>
        <v>2500</v>
      </c>
      <c r="G36" s="35">
        <f>$D$36</f>
        <v>2500</v>
      </c>
      <c r="H36" s="35">
        <f>$D$36</f>
        <v>2500</v>
      </c>
      <c r="I36" s="26"/>
      <c r="J36" s="14"/>
      <c r="K36" s="3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</sheetData>
  <sheetProtection/>
  <mergeCells count="10">
    <mergeCell ref="M7:O7"/>
    <mergeCell ref="A1:D1"/>
    <mergeCell ref="E1:G1"/>
    <mergeCell ref="A31:C31"/>
    <mergeCell ref="A35:C35"/>
    <mergeCell ref="A3:C3"/>
    <mergeCell ref="A8:C8"/>
    <mergeCell ref="A25:C25"/>
    <mergeCell ref="A27:C27"/>
    <mergeCell ref="A29:C29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2.75"/>
  <cols>
    <col min="1" max="1" width="42.8515625" style="1" customWidth="1"/>
    <col min="2" max="2" width="15.7109375" style="1" bestFit="1" customWidth="1"/>
    <col min="3" max="4" width="14.421875" style="1" customWidth="1"/>
    <col min="5" max="5" width="16.28125" style="1" customWidth="1"/>
    <col min="6" max="9" width="14.28125" style="1" customWidth="1"/>
    <col min="10" max="10" width="14.421875" style="1" customWidth="1"/>
    <col min="11" max="11" width="12.7109375" style="1" customWidth="1"/>
    <col min="12" max="26" width="12.7109375" style="1" hidden="1" customWidth="1"/>
    <col min="27" max="27" width="0" style="1" hidden="1" customWidth="1"/>
    <col min="28" max="16384" width="9.140625" style="1" customWidth="1"/>
  </cols>
  <sheetData>
    <row r="1" spans="1:11" ht="32.25" customHeight="1" thickBot="1">
      <c r="A1" s="220" t="s">
        <v>44</v>
      </c>
      <c r="B1" s="221"/>
      <c r="C1" s="221"/>
      <c r="D1" s="221"/>
      <c r="E1" s="222" t="s">
        <v>114</v>
      </c>
      <c r="F1" s="222"/>
      <c r="G1" s="222"/>
      <c r="H1" s="2"/>
      <c r="I1" s="15"/>
      <c r="J1" s="14"/>
      <c r="K1" s="14"/>
    </row>
    <row r="2" spans="1:11" ht="16.5" thickBot="1">
      <c r="A2" s="16"/>
      <c r="B2" s="17"/>
      <c r="C2" s="18"/>
      <c r="D2" s="18"/>
      <c r="E2" s="10"/>
      <c r="F2" s="10"/>
      <c r="G2" s="10"/>
      <c r="H2" s="10"/>
      <c r="I2" s="4"/>
      <c r="J2" s="3"/>
      <c r="K2" s="14"/>
    </row>
    <row r="3" spans="1:11" ht="39.75" customHeight="1" thickBot="1">
      <c r="A3" s="234" t="s">
        <v>6</v>
      </c>
      <c r="B3" s="223"/>
      <c r="C3" s="223"/>
      <c r="D3" s="30"/>
      <c r="E3" s="40">
        <f>'Pryse + Sensatiwiteitsanali'!B25</f>
        <v>1729</v>
      </c>
      <c r="F3" s="30" t="s">
        <v>0</v>
      </c>
      <c r="G3" s="19"/>
      <c r="H3" s="19"/>
      <c r="I3" s="5"/>
      <c r="K3" s="14"/>
    </row>
    <row r="4" spans="1:11" ht="13.5" thickBot="1">
      <c r="A4" s="64"/>
      <c r="B4" s="77"/>
      <c r="C4" s="77"/>
      <c r="D4" s="6"/>
      <c r="E4" s="9"/>
      <c r="F4" s="20"/>
      <c r="G4" s="7"/>
      <c r="H4" s="21"/>
      <c r="I4" s="21"/>
      <c r="J4" s="3"/>
      <c r="K4" s="14"/>
    </row>
    <row r="5" spans="1:11" ht="13.5" thickBot="1">
      <c r="A5" s="64" t="s">
        <v>7</v>
      </c>
      <c r="B5" s="77"/>
      <c r="C5" s="77"/>
      <c r="D5" s="48">
        <v>8</v>
      </c>
      <c r="E5" s="48">
        <v>10</v>
      </c>
      <c r="F5" s="48">
        <v>12</v>
      </c>
      <c r="G5" s="48">
        <v>14</v>
      </c>
      <c r="H5" s="48">
        <v>16</v>
      </c>
      <c r="I5" s="48">
        <v>18</v>
      </c>
      <c r="J5" s="3"/>
      <c r="K5" s="14"/>
    </row>
    <row r="6" spans="1:11" ht="13.5" thickBot="1">
      <c r="A6" s="65" t="s">
        <v>8</v>
      </c>
      <c r="B6" s="78"/>
      <c r="C6" s="79"/>
      <c r="D6" s="37">
        <f aca="true" t="shared" si="0" ref="D6:I6">$E$3*D5</f>
        <v>13832</v>
      </c>
      <c r="E6" s="37">
        <f t="shared" si="0"/>
        <v>17290</v>
      </c>
      <c r="F6" s="37">
        <f t="shared" si="0"/>
        <v>20748</v>
      </c>
      <c r="G6" s="37">
        <f t="shared" si="0"/>
        <v>24206</v>
      </c>
      <c r="H6" s="37">
        <f t="shared" si="0"/>
        <v>27664</v>
      </c>
      <c r="I6" s="37">
        <f t="shared" si="0"/>
        <v>31122</v>
      </c>
      <c r="J6" s="3"/>
      <c r="K6" s="14"/>
    </row>
    <row r="7" spans="1:11" ht="13.5" thickBot="1">
      <c r="A7" s="67"/>
      <c r="B7" s="68"/>
      <c r="C7" s="68"/>
      <c r="D7" s="42"/>
      <c r="E7" s="42"/>
      <c r="F7" s="42"/>
      <c r="G7" s="42"/>
      <c r="H7" s="42"/>
      <c r="I7" s="42"/>
      <c r="J7" s="3"/>
      <c r="K7" s="14"/>
    </row>
    <row r="8" spans="1:11" ht="27.75" customHeight="1" thickBot="1">
      <c r="A8" s="228" t="s">
        <v>9</v>
      </c>
      <c r="B8" s="229"/>
      <c r="C8" s="230"/>
      <c r="D8" s="43"/>
      <c r="E8" s="43"/>
      <c r="F8" s="43"/>
      <c r="G8" s="43"/>
      <c r="H8" s="43"/>
      <c r="I8" s="43"/>
      <c r="J8" s="3"/>
      <c r="K8" s="14"/>
    </row>
    <row r="9" spans="1:11" ht="12.75">
      <c r="A9" s="69" t="s">
        <v>10</v>
      </c>
      <c r="B9" s="70"/>
      <c r="C9" s="70"/>
      <c r="D9" s="195">
        <v>2643.4375</v>
      </c>
      <c r="E9" s="195">
        <v>3124.0625</v>
      </c>
      <c r="F9" s="195">
        <v>3604.6875</v>
      </c>
      <c r="G9" s="195">
        <v>3845</v>
      </c>
      <c r="H9" s="195">
        <v>3845</v>
      </c>
      <c r="I9" s="195">
        <v>3845</v>
      </c>
      <c r="J9" s="3"/>
      <c r="K9" s="14"/>
    </row>
    <row r="10" spans="1:11" ht="12.75">
      <c r="A10" s="66" t="s">
        <v>11</v>
      </c>
      <c r="B10" s="71"/>
      <c r="C10" s="71"/>
      <c r="D10" s="196">
        <v>4567.280000000001</v>
      </c>
      <c r="E10" s="196">
        <v>5559.1</v>
      </c>
      <c r="F10" s="196">
        <v>6550.92</v>
      </c>
      <c r="G10" s="196">
        <v>7542.740000000001</v>
      </c>
      <c r="H10" s="196">
        <v>8534.560000000001</v>
      </c>
      <c r="I10" s="196">
        <v>9526.380000000001</v>
      </c>
      <c r="J10" s="3"/>
      <c r="K10" s="14"/>
    </row>
    <row r="11" spans="1:11" ht="12.75">
      <c r="A11" s="66" t="s">
        <v>12</v>
      </c>
      <c r="B11" s="71"/>
      <c r="C11" s="71"/>
      <c r="D11" s="196">
        <v>161.17200000000003</v>
      </c>
      <c r="E11" s="196">
        <v>161.17200000000003</v>
      </c>
      <c r="F11" s="196">
        <v>161.17200000000003</v>
      </c>
      <c r="G11" s="196">
        <v>161.17200000000003</v>
      </c>
      <c r="H11" s="196">
        <v>161.17200000000003</v>
      </c>
      <c r="I11" s="196">
        <v>161.17200000000003</v>
      </c>
      <c r="J11" s="3"/>
      <c r="K11" s="14"/>
    </row>
    <row r="12" spans="1:11" ht="12.75">
      <c r="A12" s="66" t="s">
        <v>13</v>
      </c>
      <c r="B12" s="71"/>
      <c r="C12" s="71"/>
      <c r="D12" s="196">
        <v>869.63482671209</v>
      </c>
      <c r="E12" s="196">
        <v>912.9842093308312</v>
      </c>
      <c r="F12" s="196">
        <v>956.3335919495725</v>
      </c>
      <c r="G12" s="196">
        <v>999.6829745683137</v>
      </c>
      <c r="H12" s="196">
        <v>1043.032357187055</v>
      </c>
      <c r="I12" s="196">
        <v>1086.3817398057963</v>
      </c>
      <c r="J12" s="3"/>
      <c r="K12" s="14"/>
    </row>
    <row r="13" spans="1:11" ht="12.75">
      <c r="A13" s="66" t="s">
        <v>14</v>
      </c>
      <c r="B13" s="71"/>
      <c r="C13" s="71"/>
      <c r="D13" s="196">
        <v>573.2453</v>
      </c>
      <c r="E13" s="196">
        <v>586.0053</v>
      </c>
      <c r="F13" s="196">
        <v>598.7653</v>
      </c>
      <c r="G13" s="196">
        <v>611.5253</v>
      </c>
      <c r="H13" s="196">
        <v>624.2853</v>
      </c>
      <c r="I13" s="196">
        <v>637.0453</v>
      </c>
      <c r="J13" s="3"/>
      <c r="K13" s="14"/>
    </row>
    <row r="14" spans="1:11" ht="12.75">
      <c r="A14" s="66" t="s">
        <v>15</v>
      </c>
      <c r="B14" s="71"/>
      <c r="C14" s="71"/>
      <c r="D14" s="196">
        <v>663.1152000000001</v>
      </c>
      <c r="E14" s="196">
        <v>663.1152000000001</v>
      </c>
      <c r="F14" s="196">
        <v>663.1152000000001</v>
      </c>
      <c r="G14" s="196">
        <v>663.1152000000001</v>
      </c>
      <c r="H14" s="196">
        <v>663.1152000000001</v>
      </c>
      <c r="I14" s="196">
        <v>663.1152000000001</v>
      </c>
      <c r="J14" s="3"/>
      <c r="K14" s="14"/>
    </row>
    <row r="15" spans="1:11" ht="12.75">
      <c r="A15" s="66" t="s">
        <v>16</v>
      </c>
      <c r="B15" s="71"/>
      <c r="C15" s="71"/>
      <c r="D15" s="196">
        <v>561</v>
      </c>
      <c r="E15" s="196">
        <v>561</v>
      </c>
      <c r="F15" s="196">
        <v>561</v>
      </c>
      <c r="G15" s="196">
        <v>561</v>
      </c>
      <c r="H15" s="196">
        <v>561</v>
      </c>
      <c r="I15" s="196">
        <v>561</v>
      </c>
      <c r="J15" s="3"/>
      <c r="K15" s="14"/>
    </row>
    <row r="16" spans="1:11" ht="12.75">
      <c r="A16" s="66" t="s">
        <v>17</v>
      </c>
      <c r="B16" s="71"/>
      <c r="C16" s="71"/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3"/>
      <c r="K16" s="14"/>
    </row>
    <row r="17" spans="1:11" ht="12.75">
      <c r="A17" s="66" t="s">
        <v>36</v>
      </c>
      <c r="B17" s="71"/>
      <c r="C17" s="71"/>
      <c r="D17" s="196">
        <v>4006.2695360000007</v>
      </c>
      <c r="E17" s="196">
        <v>4006.2695360000007</v>
      </c>
      <c r="F17" s="196">
        <v>4006.2695360000007</v>
      </c>
      <c r="G17" s="196">
        <v>4006.2695360000007</v>
      </c>
      <c r="H17" s="196">
        <v>4006.2695360000007</v>
      </c>
      <c r="I17" s="196">
        <v>4006.2695360000007</v>
      </c>
      <c r="J17" s="3"/>
      <c r="K17" s="14"/>
    </row>
    <row r="18" spans="1:11" ht="12.75">
      <c r="A18" s="66" t="s">
        <v>18</v>
      </c>
      <c r="B18" s="71"/>
      <c r="C18" s="71"/>
      <c r="D18" s="196">
        <v>1672.1983068492875</v>
      </c>
      <c r="E18" s="196">
        <v>1860.8974835547522</v>
      </c>
      <c r="F18" s="196">
        <v>2049.5966602602166</v>
      </c>
      <c r="G18" s="196">
        <v>2210.4979769309793</v>
      </c>
      <c r="H18" s="196">
        <v>2343.6014335670397</v>
      </c>
      <c r="I18" s="196">
        <v>2476.7048902030997</v>
      </c>
      <c r="J18" s="3"/>
      <c r="K18" s="14"/>
    </row>
    <row r="19" spans="1:11" ht="12.75">
      <c r="A19" s="66" t="s">
        <v>19</v>
      </c>
      <c r="B19" s="71"/>
      <c r="C19" s="71"/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3"/>
      <c r="K19" s="14"/>
    </row>
    <row r="20" spans="1:11" ht="12.75">
      <c r="A20" s="66" t="s">
        <v>20</v>
      </c>
      <c r="B20" s="71"/>
      <c r="C20" s="71"/>
      <c r="D20" s="196">
        <v>411</v>
      </c>
      <c r="E20" s="196">
        <v>513.75</v>
      </c>
      <c r="F20" s="196">
        <v>616.5</v>
      </c>
      <c r="G20" s="196">
        <v>719.25</v>
      </c>
      <c r="H20" s="196">
        <v>822</v>
      </c>
      <c r="I20" s="196">
        <v>924.75</v>
      </c>
      <c r="J20" s="3"/>
      <c r="K20" s="14"/>
    </row>
    <row r="21" spans="1:11" ht="12.75">
      <c r="A21" s="66" t="s">
        <v>21</v>
      </c>
      <c r="B21" s="71"/>
      <c r="C21" s="71"/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3"/>
      <c r="K21" s="14"/>
    </row>
    <row r="22" spans="1:11" s="13" customFormat="1" ht="12.75">
      <c r="A22" s="66" t="s">
        <v>22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3"/>
      <c r="K22" s="12"/>
    </row>
    <row r="23" spans="1:11" s="13" customFormat="1" ht="12.75">
      <c r="A23" s="66" t="s">
        <v>23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3"/>
      <c r="K23" s="12"/>
    </row>
    <row r="24" spans="1:11" s="13" customFormat="1" ht="12.75">
      <c r="A24" s="66" t="s">
        <v>24</v>
      </c>
      <c r="B24" s="71"/>
      <c r="C24" s="71"/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3"/>
      <c r="K24" s="12"/>
    </row>
    <row r="25" spans="1:11" s="13" customFormat="1" ht="13.5" thickBot="1">
      <c r="A25" s="66" t="s">
        <v>25</v>
      </c>
      <c r="B25" s="71"/>
      <c r="C25" s="71"/>
      <c r="D25" s="196">
        <v>846.7385151519724</v>
      </c>
      <c r="E25" s="196">
        <v>942.2887020164932</v>
      </c>
      <c r="F25" s="196">
        <v>1037.838888881014</v>
      </c>
      <c r="G25" s="196">
        <v>1119.313281843713</v>
      </c>
      <c r="H25" s="196">
        <v>1186.7118809045899</v>
      </c>
      <c r="I25" s="196">
        <v>1254.110479965467</v>
      </c>
      <c r="J25" s="3"/>
      <c r="K25" s="12"/>
    </row>
    <row r="26" spans="1:11" s="13" customFormat="1" ht="26.25" customHeight="1" thickBot="1">
      <c r="A26" s="207" t="s">
        <v>26</v>
      </c>
      <c r="B26" s="208"/>
      <c r="C26" s="209"/>
      <c r="D26" s="33">
        <f aca="true" t="shared" si="1" ref="D26:I26">SUM(D9:D25)</f>
        <v>16975.091184713354</v>
      </c>
      <c r="E26" s="33">
        <f t="shared" si="1"/>
        <v>18890.64493090208</v>
      </c>
      <c r="F26" s="33">
        <f t="shared" si="1"/>
        <v>20806.198677090804</v>
      </c>
      <c r="G26" s="33">
        <f t="shared" si="1"/>
        <v>22439.566269343006</v>
      </c>
      <c r="H26" s="33">
        <f t="shared" si="1"/>
        <v>23790.747707658687</v>
      </c>
      <c r="I26" s="33">
        <f t="shared" si="1"/>
        <v>25141.92914597436</v>
      </c>
      <c r="J26" s="3"/>
      <c r="K26" s="12"/>
    </row>
    <row r="27" spans="1:11" s="13" customFormat="1" ht="13.5" thickBot="1">
      <c r="A27" s="72"/>
      <c r="B27" s="73"/>
      <c r="C27" s="73"/>
      <c r="D27" s="34"/>
      <c r="E27" s="34"/>
      <c r="F27" s="34"/>
      <c r="G27" s="34"/>
      <c r="H27" s="34"/>
      <c r="I27" s="34"/>
      <c r="J27" s="3"/>
      <c r="K27" s="12"/>
    </row>
    <row r="28" spans="1:11" ht="13.5" thickBot="1">
      <c r="A28" s="231" t="s">
        <v>27</v>
      </c>
      <c r="B28" s="232"/>
      <c r="C28" s="233"/>
      <c r="D28" s="197">
        <v>1749.3561903089662</v>
      </c>
      <c r="E28" s="197">
        <v>1749.3561903089662</v>
      </c>
      <c r="F28" s="197">
        <v>1749.3561903089662</v>
      </c>
      <c r="G28" s="197">
        <v>1749.3561903089662</v>
      </c>
      <c r="H28" s="197">
        <v>1749.3561903089662</v>
      </c>
      <c r="I28" s="197">
        <v>1749.3561903089662</v>
      </c>
      <c r="J28" s="27"/>
      <c r="K28" s="3"/>
    </row>
    <row r="29" spans="1:11" ht="13.5" thickBot="1">
      <c r="A29" s="72"/>
      <c r="B29" s="73"/>
      <c r="C29" s="73"/>
      <c r="D29" s="34"/>
      <c r="E29" s="34"/>
      <c r="F29" s="34"/>
      <c r="G29" s="34"/>
      <c r="H29" s="34"/>
      <c r="I29" s="34"/>
      <c r="J29" s="3"/>
      <c r="K29" s="14"/>
    </row>
    <row r="30" spans="1:11" ht="26.25" customHeight="1" thickBot="1">
      <c r="A30" s="207" t="s">
        <v>28</v>
      </c>
      <c r="B30" s="208"/>
      <c r="C30" s="209"/>
      <c r="D30" s="33">
        <f aca="true" t="shared" si="2" ref="D30:I30">D26+D28</f>
        <v>18724.44737502232</v>
      </c>
      <c r="E30" s="33">
        <f t="shared" si="2"/>
        <v>20640.001121211044</v>
      </c>
      <c r="F30" s="33">
        <f t="shared" si="2"/>
        <v>22555.55486739977</v>
      </c>
      <c r="G30" s="33">
        <f t="shared" si="2"/>
        <v>24188.92245965197</v>
      </c>
      <c r="H30" s="33">
        <f t="shared" si="2"/>
        <v>25540.103897967652</v>
      </c>
      <c r="I30" s="33">
        <f t="shared" si="2"/>
        <v>26891.285336283327</v>
      </c>
      <c r="J30" s="3"/>
      <c r="K30" s="14"/>
    </row>
    <row r="31" spans="1:11" ht="13.5" thickBot="1">
      <c r="A31" s="67"/>
      <c r="B31" s="68"/>
      <c r="C31" s="68"/>
      <c r="D31" s="36"/>
      <c r="E31" s="36"/>
      <c r="F31" s="36"/>
      <c r="G31" s="36"/>
      <c r="H31" s="36"/>
      <c r="I31" s="36"/>
      <c r="J31" s="3"/>
      <c r="K31" s="14"/>
    </row>
    <row r="32" spans="1:11" ht="26.25" customHeight="1" thickBot="1">
      <c r="A32" s="207" t="s">
        <v>29</v>
      </c>
      <c r="B32" s="223"/>
      <c r="C32" s="224"/>
      <c r="D32" s="33">
        <f aca="true" t="shared" si="3" ref="D32:I32">D30/D5</f>
        <v>2340.55592187779</v>
      </c>
      <c r="E32" s="33">
        <f t="shared" si="3"/>
        <v>2064.0001121211044</v>
      </c>
      <c r="F32" s="33">
        <f t="shared" si="3"/>
        <v>1879.629572283314</v>
      </c>
      <c r="G32" s="33">
        <f t="shared" si="3"/>
        <v>1727.7801756894264</v>
      </c>
      <c r="H32" s="33">
        <f t="shared" si="3"/>
        <v>1596.2564936229783</v>
      </c>
      <c r="I32" s="33">
        <f t="shared" si="3"/>
        <v>1493.9602964601847</v>
      </c>
      <c r="J32" s="3"/>
      <c r="K32" s="14"/>
    </row>
    <row r="33" spans="1:11" ht="13.5" thickBot="1">
      <c r="A33" s="67"/>
      <c r="B33" s="68"/>
      <c r="C33" s="68"/>
      <c r="D33" s="36"/>
      <c r="E33" s="36"/>
      <c r="F33" s="36"/>
      <c r="G33" s="36"/>
      <c r="H33" s="36"/>
      <c r="I33" s="36"/>
      <c r="J33" s="3"/>
      <c r="K33" s="14"/>
    </row>
    <row r="34" spans="1:11" ht="13.5" thickBot="1">
      <c r="A34" s="65" t="s">
        <v>30</v>
      </c>
      <c r="B34" s="78"/>
      <c r="C34" s="78"/>
      <c r="D34" s="33">
        <f>'Pryse + Sensatiwiteitsanali'!D4</f>
        <v>271</v>
      </c>
      <c r="E34" s="33">
        <f>$D$34</f>
        <v>271</v>
      </c>
      <c r="F34" s="33">
        <f>$D$34</f>
        <v>271</v>
      </c>
      <c r="G34" s="33">
        <f>$D$34</f>
        <v>271</v>
      </c>
      <c r="H34" s="33">
        <f>$D$34</f>
        <v>271</v>
      </c>
      <c r="I34" s="33">
        <f>$D$34</f>
        <v>271</v>
      </c>
      <c r="J34" s="3"/>
      <c r="K34" s="3"/>
    </row>
    <row r="35" spans="1:11" ht="13.5" thickBot="1">
      <c r="A35" s="67"/>
      <c r="B35" s="68"/>
      <c r="C35" s="68"/>
      <c r="D35" s="36"/>
      <c r="E35" s="36"/>
      <c r="F35" s="36"/>
      <c r="G35" s="36"/>
      <c r="H35" s="36"/>
      <c r="I35" s="36"/>
      <c r="J35" s="3"/>
      <c r="K35" s="3"/>
    </row>
    <row r="36" spans="1:10" ht="23.25" customHeight="1" thickBot="1">
      <c r="A36" s="234" t="s">
        <v>31</v>
      </c>
      <c r="B36" s="223"/>
      <c r="C36" s="224"/>
      <c r="D36" s="35">
        <f aca="true" t="shared" si="4" ref="D36:I36">D32+D34</f>
        <v>2611.55592187779</v>
      </c>
      <c r="E36" s="35">
        <f t="shared" si="4"/>
        <v>2335.0001121211044</v>
      </c>
      <c r="F36" s="35">
        <f t="shared" si="4"/>
        <v>2150.629572283314</v>
      </c>
      <c r="G36" s="35">
        <f t="shared" si="4"/>
        <v>1998.7801756894264</v>
      </c>
      <c r="H36" s="35">
        <f t="shared" si="4"/>
        <v>1867.2564936229783</v>
      </c>
      <c r="I36" s="35">
        <f t="shared" si="4"/>
        <v>1764.9602964601847</v>
      </c>
      <c r="J36" s="3"/>
    </row>
    <row r="37" spans="1:10" ht="13.5" thickBot="1">
      <c r="A37" s="74" t="s">
        <v>32</v>
      </c>
      <c r="B37" s="75"/>
      <c r="C37" s="76"/>
      <c r="D37" s="35">
        <f>'Pryse + Sensatiwiteitsanali'!B4</f>
        <v>2000</v>
      </c>
      <c r="E37" s="35">
        <f>$D$37</f>
        <v>2000</v>
      </c>
      <c r="F37" s="35">
        <v>3000</v>
      </c>
      <c r="G37" s="35">
        <v>3000</v>
      </c>
      <c r="H37" s="35">
        <v>3000</v>
      </c>
      <c r="I37" s="35">
        <v>3000</v>
      </c>
      <c r="J37" s="14"/>
    </row>
    <row r="38" spans="1:10" ht="15">
      <c r="A38" s="81" t="s">
        <v>37</v>
      </c>
      <c r="B38" s="82"/>
      <c r="C38" s="82"/>
      <c r="D38" s="82"/>
      <c r="E38" s="82"/>
      <c r="F38" s="82"/>
      <c r="G38" s="82"/>
      <c r="H38" s="83"/>
      <c r="I38" s="80"/>
      <c r="J38" s="80"/>
    </row>
    <row r="39" spans="1:10" ht="15">
      <c r="A39" s="84" t="s">
        <v>38</v>
      </c>
      <c r="B39" s="85"/>
      <c r="C39" s="85"/>
      <c r="D39" s="85"/>
      <c r="E39" s="85"/>
      <c r="F39" s="85"/>
      <c r="G39" s="85"/>
      <c r="H39" s="86"/>
      <c r="I39" s="80"/>
      <c r="J39" s="80"/>
    </row>
    <row r="40" spans="1:10" ht="15.75" thickBot="1">
      <c r="A40" s="87" t="s">
        <v>39</v>
      </c>
      <c r="B40" s="88"/>
      <c r="C40" s="88"/>
      <c r="D40" s="88"/>
      <c r="E40" s="88"/>
      <c r="F40" s="88"/>
      <c r="G40" s="88"/>
      <c r="H40" s="89"/>
      <c r="I40" s="80"/>
      <c r="J40" s="80"/>
    </row>
    <row r="41" spans="1:8" ht="12.75">
      <c r="A41" s="211" t="s">
        <v>40</v>
      </c>
      <c r="B41" s="212"/>
      <c r="C41" s="212"/>
      <c r="D41" s="212"/>
      <c r="E41" s="212"/>
      <c r="F41" s="212"/>
      <c r="G41" s="212"/>
      <c r="H41" s="213"/>
    </row>
    <row r="42" spans="1:8" ht="12.75">
      <c r="A42" s="214"/>
      <c r="B42" s="215"/>
      <c r="C42" s="215"/>
      <c r="D42" s="215"/>
      <c r="E42" s="215"/>
      <c r="F42" s="215"/>
      <c r="G42" s="215"/>
      <c r="H42" s="216"/>
    </row>
    <row r="43" spans="1:8" ht="12.75">
      <c r="A43" s="214"/>
      <c r="B43" s="215"/>
      <c r="C43" s="215"/>
      <c r="D43" s="215"/>
      <c r="E43" s="215"/>
      <c r="F43" s="215"/>
      <c r="G43" s="215"/>
      <c r="H43" s="216"/>
    </row>
    <row r="44" spans="1:8" ht="13.5" thickBot="1">
      <c r="A44" s="217"/>
      <c r="B44" s="218"/>
      <c r="C44" s="218"/>
      <c r="D44" s="218"/>
      <c r="E44" s="218"/>
      <c r="F44" s="218"/>
      <c r="G44" s="218"/>
      <c r="H44" s="219"/>
    </row>
    <row r="71" ht="12.75"/>
    <row r="72" ht="12.75"/>
    <row r="73" ht="12.75"/>
    <row r="74" ht="12.75"/>
    <row r="75" ht="12.75"/>
  </sheetData>
  <sheetProtection/>
  <mergeCells count="10">
    <mergeCell ref="A41:H44"/>
    <mergeCell ref="A1:D1"/>
    <mergeCell ref="E1:G1"/>
    <mergeCell ref="A36:C36"/>
    <mergeCell ref="A3:C3"/>
    <mergeCell ref="A8:C8"/>
    <mergeCell ref="A26:C26"/>
    <mergeCell ref="A28:C28"/>
    <mergeCell ref="A30:C30"/>
    <mergeCell ref="A32:C32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1" r:id="rId2"/>
  <headerFooter alignWithMargins="0">
    <oddHeader>&amp;C&amp;F</oddHeader>
    <oddFooter>&amp;C&amp;A&amp;RPage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5" zoomScaleNormal="85" zoomScaleSheetLayoutView="9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1" customWidth="1"/>
    <col min="2" max="2" width="18.28125" style="1" customWidth="1"/>
    <col min="3" max="3" width="17.28125" style="1" customWidth="1"/>
    <col min="4" max="4" width="13.140625" style="1" customWidth="1"/>
    <col min="5" max="5" width="14.00390625" style="1" customWidth="1"/>
    <col min="6" max="8" width="11.8515625" style="1" customWidth="1"/>
    <col min="9" max="9" width="12.8515625" style="1" bestFit="1" customWidth="1"/>
    <col min="10" max="10" width="12.421875" style="1" bestFit="1" customWidth="1"/>
    <col min="11" max="15" width="12.7109375" style="1" hidden="1" customWidth="1"/>
    <col min="16" max="26" width="12.7109375" style="1" customWidth="1"/>
    <col min="27" max="16384" width="9.140625" style="1" customWidth="1"/>
  </cols>
  <sheetData>
    <row r="1" spans="1:10" s="3" customFormat="1" ht="31.5" customHeight="1" thickBot="1">
      <c r="A1" s="220" t="s">
        <v>45</v>
      </c>
      <c r="B1" s="221"/>
      <c r="C1" s="221"/>
      <c r="D1" s="221"/>
      <c r="E1" s="222" t="s">
        <v>113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9" ht="25.5" customHeight="1" thickBot="1">
      <c r="A3" s="225" t="s">
        <v>6</v>
      </c>
      <c r="B3" s="226"/>
      <c r="C3" s="226"/>
      <c r="D3" s="30"/>
      <c r="E3" s="40">
        <f>'Pryse + Sensatiwiteitsanali'!B25</f>
        <v>1729</v>
      </c>
      <c r="F3" s="30" t="s">
        <v>0</v>
      </c>
      <c r="G3" s="19"/>
      <c r="H3" s="19"/>
      <c r="I3" s="5"/>
    </row>
    <row r="4" spans="1:10" ht="13.5" thickBot="1">
      <c r="A4" s="60"/>
      <c r="B4" s="7"/>
      <c r="C4" s="7"/>
      <c r="D4" s="6"/>
      <c r="E4" s="9"/>
      <c r="F4" s="20"/>
      <c r="G4" s="7"/>
      <c r="H4" s="21"/>
      <c r="I4" s="21"/>
      <c r="J4" s="3"/>
    </row>
    <row r="5" spans="1:14" ht="13.5" thickBot="1">
      <c r="A5" s="64" t="s">
        <v>7</v>
      </c>
      <c r="B5" s="7"/>
      <c r="C5" s="7"/>
      <c r="D5" s="48">
        <v>3</v>
      </c>
      <c r="E5" s="48">
        <v>3.5</v>
      </c>
      <c r="F5" s="48">
        <v>4</v>
      </c>
      <c r="G5" s="48">
        <v>4.5</v>
      </c>
      <c r="H5" s="48">
        <v>5</v>
      </c>
      <c r="I5" s="48">
        <v>5.5</v>
      </c>
      <c r="J5" s="3"/>
      <c r="M5" s="53"/>
      <c r="N5" s="53"/>
    </row>
    <row r="6" spans="1:14" ht="13.5" thickBot="1">
      <c r="A6" s="65" t="s">
        <v>8</v>
      </c>
      <c r="B6" s="62"/>
      <c r="C6" s="63"/>
      <c r="D6" s="37">
        <f aca="true" t="shared" si="0" ref="D6:I6">$E$3*D5</f>
        <v>5187</v>
      </c>
      <c r="E6" s="37">
        <f t="shared" si="0"/>
        <v>6051.5</v>
      </c>
      <c r="F6" s="37">
        <f t="shared" si="0"/>
        <v>6916</v>
      </c>
      <c r="G6" s="37">
        <f t="shared" si="0"/>
        <v>7780.5</v>
      </c>
      <c r="H6" s="37">
        <f t="shared" si="0"/>
        <v>8645</v>
      </c>
      <c r="I6" s="37">
        <f t="shared" si="0"/>
        <v>9509.5</v>
      </c>
      <c r="J6" s="3"/>
      <c r="M6" s="54"/>
      <c r="N6" s="54"/>
    </row>
    <row r="7" spans="1:15" ht="15.75" thickBot="1">
      <c r="A7" s="58"/>
      <c r="B7" s="59"/>
      <c r="C7" s="59"/>
      <c r="D7" s="23"/>
      <c r="E7" s="23"/>
      <c r="F7" s="23"/>
      <c r="G7" s="23"/>
      <c r="H7" s="23"/>
      <c r="I7" s="23"/>
      <c r="J7" s="3"/>
      <c r="M7" s="210" t="s">
        <v>98</v>
      </c>
      <c r="N7" s="210"/>
      <c r="O7" s="210"/>
    </row>
    <row r="8" spans="1:15" ht="15.75" thickBot="1">
      <c r="A8" s="228" t="s">
        <v>9</v>
      </c>
      <c r="B8" s="229"/>
      <c r="C8" s="230"/>
      <c r="D8" s="24"/>
      <c r="E8" s="24"/>
      <c r="F8" s="24"/>
      <c r="G8" s="24"/>
      <c r="H8" s="24"/>
      <c r="I8" s="24"/>
      <c r="J8" s="3"/>
      <c r="M8" s="187" t="s">
        <v>95</v>
      </c>
      <c r="N8" s="187" t="s">
        <v>96</v>
      </c>
      <c r="O8" s="187" t="s">
        <v>97</v>
      </c>
    </row>
    <row r="9" spans="1:15" ht="15">
      <c r="A9" s="69" t="s">
        <v>10</v>
      </c>
      <c r="B9" s="70"/>
      <c r="C9" s="70"/>
      <c r="D9" s="195">
        <v>720.9375</v>
      </c>
      <c r="E9" s="195">
        <v>769</v>
      </c>
      <c r="F9" s="195">
        <v>865.125</v>
      </c>
      <c r="G9" s="195">
        <v>961.25</v>
      </c>
      <c r="H9" s="195">
        <v>1081.40625</v>
      </c>
      <c r="I9" s="195">
        <v>1153.5</v>
      </c>
      <c r="J9" s="3"/>
      <c r="K9" s="29"/>
      <c r="M9" s="188">
        <f>D5</f>
        <v>3</v>
      </c>
      <c r="N9" s="188">
        <f>D25</f>
        <v>6519.109895444335</v>
      </c>
      <c r="O9" s="188">
        <f>D27</f>
        <v>2424.371875124792</v>
      </c>
    </row>
    <row r="10" spans="1:15" ht="15">
      <c r="A10" s="66" t="s">
        <v>11</v>
      </c>
      <c r="B10" s="71"/>
      <c r="C10" s="71"/>
      <c r="D10" s="196">
        <v>1575.35</v>
      </c>
      <c r="E10" s="196">
        <v>1819.575</v>
      </c>
      <c r="F10" s="196">
        <v>2063.8</v>
      </c>
      <c r="G10" s="196">
        <v>2308.0249999999996</v>
      </c>
      <c r="H10" s="196">
        <v>2552.25</v>
      </c>
      <c r="I10" s="196">
        <v>2796.475</v>
      </c>
      <c r="J10" s="3"/>
      <c r="K10" s="29"/>
      <c r="M10" s="188">
        <f>E5</f>
        <v>3.5</v>
      </c>
      <c r="N10" s="188">
        <f>E25</f>
        <v>6933.585793459765</v>
      </c>
      <c r="O10" s="188">
        <f>E27</f>
        <v>2424.371875124792</v>
      </c>
    </row>
    <row r="11" spans="1:15" ht="15">
      <c r="A11" s="66" t="s">
        <v>12</v>
      </c>
      <c r="B11" s="71"/>
      <c r="C11" s="71"/>
      <c r="D11" s="196">
        <v>556.5000000000001</v>
      </c>
      <c r="E11" s="196">
        <v>556.5000000000001</v>
      </c>
      <c r="F11" s="196">
        <v>556.5000000000001</v>
      </c>
      <c r="G11" s="196">
        <v>556.5000000000001</v>
      </c>
      <c r="H11" s="196">
        <v>556.5000000000001</v>
      </c>
      <c r="I11" s="196">
        <v>556.5000000000001</v>
      </c>
      <c r="J11" s="3"/>
      <c r="K11" s="29"/>
      <c r="M11" s="188">
        <f>F5</f>
        <v>4</v>
      </c>
      <c r="N11" s="188">
        <f>F25</f>
        <v>7404.4989222625</v>
      </c>
      <c r="O11" s="188">
        <f>F27</f>
        <v>2424.371875124792</v>
      </c>
    </row>
    <row r="12" spans="1:15" ht="15">
      <c r="A12" s="66" t="s">
        <v>13</v>
      </c>
      <c r="B12" s="71"/>
      <c r="C12" s="71"/>
      <c r="D12" s="196">
        <v>937.7762101554137</v>
      </c>
      <c r="E12" s="196">
        <v>952.8914554106327</v>
      </c>
      <c r="F12" s="196">
        <v>968.0067006658517</v>
      </c>
      <c r="G12" s="196">
        <v>983.1219459210706</v>
      </c>
      <c r="H12" s="196">
        <v>998.2371911762896</v>
      </c>
      <c r="I12" s="196">
        <v>1013.3524364315085</v>
      </c>
      <c r="J12" s="3"/>
      <c r="K12" s="29"/>
      <c r="M12" s="188">
        <f>G5</f>
        <v>4.5</v>
      </c>
      <c r="N12" s="188">
        <f>G25</f>
        <v>7875.412051065232</v>
      </c>
      <c r="O12" s="188">
        <f>G27</f>
        <v>2424.371875124792</v>
      </c>
    </row>
    <row r="13" spans="1:15" ht="15">
      <c r="A13" s="66" t="s">
        <v>14</v>
      </c>
      <c r="B13" s="71"/>
      <c r="C13" s="71"/>
      <c r="D13" s="196">
        <v>727.3503000000001</v>
      </c>
      <c r="E13" s="196">
        <v>730.4153</v>
      </c>
      <c r="F13" s="196">
        <v>733.4803</v>
      </c>
      <c r="G13" s="196">
        <v>736.5453</v>
      </c>
      <c r="H13" s="196">
        <v>739.6103</v>
      </c>
      <c r="I13" s="196">
        <v>742.6753</v>
      </c>
      <c r="J13" s="3"/>
      <c r="K13" s="29"/>
      <c r="M13" s="188">
        <f>H5</f>
        <v>5</v>
      </c>
      <c r="N13" s="188">
        <f>H25</f>
        <v>8374.54379526162</v>
      </c>
      <c r="O13" s="188">
        <f>H27</f>
        <v>2424.371875124792</v>
      </c>
    </row>
    <row r="14" spans="1:15" ht="15">
      <c r="A14" s="66" t="s">
        <v>15</v>
      </c>
      <c r="B14" s="71"/>
      <c r="C14" s="71"/>
      <c r="D14" s="196">
        <v>605.0000000000001</v>
      </c>
      <c r="E14" s="196">
        <v>605.0000000000001</v>
      </c>
      <c r="F14" s="196">
        <v>605.0000000000001</v>
      </c>
      <c r="G14" s="196">
        <v>605.0000000000001</v>
      </c>
      <c r="H14" s="196">
        <v>605.0000000000001</v>
      </c>
      <c r="I14" s="196">
        <v>605.0000000000001</v>
      </c>
      <c r="J14" s="3"/>
      <c r="K14" s="29"/>
      <c r="M14" s="188">
        <f>I5</f>
        <v>5.5</v>
      </c>
      <c r="N14" s="188">
        <f>I25</f>
        <v>8817.238308670701</v>
      </c>
      <c r="O14" s="188">
        <f>I27</f>
        <v>2424.371875124792</v>
      </c>
    </row>
    <row r="15" spans="1:14" ht="12.75">
      <c r="A15" s="66" t="s">
        <v>16</v>
      </c>
      <c r="B15" s="71"/>
      <c r="C15" s="71"/>
      <c r="D15" s="196">
        <v>173.8</v>
      </c>
      <c r="E15" s="196">
        <v>173.8</v>
      </c>
      <c r="F15" s="196">
        <v>173.8</v>
      </c>
      <c r="G15" s="196">
        <v>173.8</v>
      </c>
      <c r="H15" s="196">
        <v>173.8</v>
      </c>
      <c r="I15" s="196">
        <v>173.8</v>
      </c>
      <c r="J15" s="3"/>
      <c r="K15" s="29"/>
      <c r="M15" s="39"/>
      <c r="N15" s="39"/>
    </row>
    <row r="16" spans="1:14" ht="12.75">
      <c r="A16" s="66" t="s">
        <v>17</v>
      </c>
      <c r="B16" s="71"/>
      <c r="C16" s="71"/>
      <c r="D16" s="196">
        <v>101.1465</v>
      </c>
      <c r="E16" s="196">
        <v>118.00425000000001</v>
      </c>
      <c r="F16" s="196">
        <v>134.862</v>
      </c>
      <c r="G16" s="196">
        <v>151.71974999999998</v>
      </c>
      <c r="H16" s="196">
        <v>168.57750000000001</v>
      </c>
      <c r="I16" s="196">
        <v>185.43525</v>
      </c>
      <c r="J16" s="3"/>
      <c r="K16" s="29"/>
      <c r="M16" s="39"/>
      <c r="N16" s="39"/>
    </row>
    <row r="17" spans="1:14" ht="12.75">
      <c r="A17" s="66" t="s">
        <v>18</v>
      </c>
      <c r="B17" s="71"/>
      <c r="C17" s="71"/>
      <c r="D17" s="196">
        <v>642.1906315969246</v>
      </c>
      <c r="E17" s="196">
        <v>683.0202146223983</v>
      </c>
      <c r="F17" s="196">
        <v>729.4093696548123</v>
      </c>
      <c r="G17" s="196">
        <v>775.7985246872262</v>
      </c>
      <c r="H17" s="196">
        <v>824.9674657231104</v>
      </c>
      <c r="I17" s="196">
        <v>868.5768347520543</v>
      </c>
      <c r="J17" s="3"/>
      <c r="K17" s="29"/>
      <c r="M17" s="39"/>
      <c r="N17" s="39"/>
    </row>
    <row r="18" spans="1:14" ht="12.75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3"/>
      <c r="K18" s="29"/>
      <c r="M18" s="39"/>
      <c r="N18" s="39"/>
    </row>
    <row r="19" spans="1:14" ht="12.75">
      <c r="A19" s="66" t="s">
        <v>20</v>
      </c>
      <c r="B19" s="71"/>
      <c r="C19" s="71"/>
      <c r="D19" s="196">
        <v>153.87750000000003</v>
      </c>
      <c r="E19" s="196">
        <v>179.52375</v>
      </c>
      <c r="F19" s="196">
        <v>205.17000000000002</v>
      </c>
      <c r="G19" s="196">
        <v>230.81625000000003</v>
      </c>
      <c r="H19" s="196">
        <v>256.46250000000003</v>
      </c>
      <c r="I19" s="196">
        <v>282.10875000000004</v>
      </c>
      <c r="J19" s="3"/>
      <c r="K19" s="29"/>
      <c r="M19" s="39"/>
      <c r="N19" s="39"/>
    </row>
    <row r="20" spans="1:14" ht="12.75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3"/>
      <c r="K20" s="29"/>
      <c r="M20" s="39"/>
      <c r="N20" s="39"/>
    </row>
    <row r="21" spans="1:14" ht="12.75">
      <c r="A21" s="66" t="s">
        <v>22</v>
      </c>
      <c r="B21" s="71"/>
      <c r="C21" s="71"/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3"/>
      <c r="K21" s="29"/>
      <c r="M21" s="39"/>
      <c r="N21" s="39"/>
    </row>
    <row r="22" spans="1:14" ht="12.75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3"/>
      <c r="K22" s="29"/>
      <c r="M22" s="39"/>
      <c r="N22" s="39"/>
    </row>
    <row r="23" spans="1:14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3"/>
      <c r="K23" s="29"/>
      <c r="M23" s="39"/>
      <c r="N23" s="39"/>
    </row>
    <row r="24" spans="1:14" ht="13.5" thickBot="1">
      <c r="A24" s="66" t="s">
        <v>25</v>
      </c>
      <c r="B24" s="71"/>
      <c r="C24" s="71"/>
      <c r="D24" s="196">
        <v>325.1812536919977</v>
      </c>
      <c r="E24" s="196">
        <v>345.8558234267341</v>
      </c>
      <c r="F24" s="196">
        <v>369.3455519418349</v>
      </c>
      <c r="G24" s="196">
        <v>392.83528045693555</v>
      </c>
      <c r="H24" s="196">
        <v>417.73258836221856</v>
      </c>
      <c r="I24" s="196">
        <v>439.81473748713705</v>
      </c>
      <c r="J24" s="3"/>
      <c r="K24" s="29"/>
      <c r="M24" s="39"/>
      <c r="N24" s="39"/>
    </row>
    <row r="25" spans="1:14" ht="26.25" customHeight="1" thickBot="1">
      <c r="A25" s="207" t="s">
        <v>26</v>
      </c>
      <c r="B25" s="208"/>
      <c r="C25" s="209"/>
      <c r="D25" s="33">
        <f aca="true" t="shared" si="1" ref="D25:I25">SUM(D9:D24)</f>
        <v>6519.109895444335</v>
      </c>
      <c r="E25" s="33">
        <f t="shared" si="1"/>
        <v>6933.585793459765</v>
      </c>
      <c r="F25" s="33">
        <f t="shared" si="1"/>
        <v>7404.4989222625</v>
      </c>
      <c r="G25" s="33">
        <f t="shared" si="1"/>
        <v>7875.412051065232</v>
      </c>
      <c r="H25" s="33">
        <f t="shared" si="1"/>
        <v>8374.54379526162</v>
      </c>
      <c r="I25" s="33">
        <f t="shared" si="1"/>
        <v>8817.238308670701</v>
      </c>
      <c r="J25" s="3"/>
      <c r="K25" s="29"/>
      <c r="M25" s="53"/>
      <c r="N25" s="53"/>
    </row>
    <row r="26" spans="1:11" ht="13.5" thickBot="1">
      <c r="A26" s="72"/>
      <c r="B26" s="73"/>
      <c r="C26" s="73"/>
      <c r="D26" s="34"/>
      <c r="E26" s="34"/>
      <c r="F26" s="34"/>
      <c r="G26" s="34"/>
      <c r="H26" s="34"/>
      <c r="I26" s="34"/>
      <c r="J26" s="3"/>
      <c r="K26" s="29"/>
    </row>
    <row r="27" spans="1:11" ht="13.5" thickBot="1">
      <c r="A27" s="231" t="s">
        <v>27</v>
      </c>
      <c r="B27" s="232"/>
      <c r="C27" s="233"/>
      <c r="D27" s="197">
        <v>2424.371875124792</v>
      </c>
      <c r="E27" s="197">
        <v>2424.371875124792</v>
      </c>
      <c r="F27" s="197">
        <v>2424.371875124792</v>
      </c>
      <c r="G27" s="197">
        <v>2424.371875124792</v>
      </c>
      <c r="H27" s="197">
        <v>2424.371875124792</v>
      </c>
      <c r="I27" s="197">
        <v>2424.371875124792</v>
      </c>
      <c r="K27" s="29"/>
    </row>
    <row r="28" spans="1:11" ht="13.5" thickBot="1">
      <c r="A28" s="72"/>
      <c r="B28" s="73"/>
      <c r="C28" s="73"/>
      <c r="D28" s="34"/>
      <c r="E28" s="34"/>
      <c r="F28" s="34"/>
      <c r="G28" s="34"/>
      <c r="H28" s="34"/>
      <c r="I28" s="34"/>
      <c r="K28" s="29"/>
    </row>
    <row r="29" spans="1:11" ht="27" customHeight="1" thickBot="1">
      <c r="A29" s="207" t="s">
        <v>28</v>
      </c>
      <c r="B29" s="208"/>
      <c r="C29" s="209"/>
      <c r="D29" s="33">
        <f aca="true" t="shared" si="2" ref="D29:I29">D25+D27</f>
        <v>8943.481770569128</v>
      </c>
      <c r="E29" s="33">
        <f t="shared" si="2"/>
        <v>9357.957668584557</v>
      </c>
      <c r="F29" s="33">
        <f t="shared" si="2"/>
        <v>9828.870797387292</v>
      </c>
      <c r="G29" s="33">
        <f t="shared" si="2"/>
        <v>10299.783926190024</v>
      </c>
      <c r="H29" s="33">
        <f t="shared" si="2"/>
        <v>10798.915670386412</v>
      </c>
      <c r="I29" s="33">
        <f t="shared" si="2"/>
        <v>11241.610183795494</v>
      </c>
      <c r="J29" s="3"/>
      <c r="K29" s="29"/>
    </row>
    <row r="30" spans="1:11" ht="13.5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29"/>
    </row>
    <row r="31" spans="1:11" ht="25.5" customHeight="1" thickBot="1">
      <c r="A31" s="207" t="s">
        <v>29</v>
      </c>
      <c r="B31" s="223"/>
      <c r="C31" s="224"/>
      <c r="D31" s="33">
        <f aca="true" t="shared" si="3" ref="D31:I31">D29/D5</f>
        <v>2981.160590189709</v>
      </c>
      <c r="E31" s="33">
        <f t="shared" si="3"/>
        <v>2673.702191024159</v>
      </c>
      <c r="F31" s="33">
        <f t="shared" si="3"/>
        <v>2457.217699346823</v>
      </c>
      <c r="G31" s="33">
        <f t="shared" si="3"/>
        <v>2288.840872486672</v>
      </c>
      <c r="H31" s="33">
        <f t="shared" si="3"/>
        <v>2159.7831340772823</v>
      </c>
      <c r="I31" s="33">
        <f t="shared" si="3"/>
        <v>2043.9291243264533</v>
      </c>
      <c r="J31" s="3"/>
      <c r="K31" s="29"/>
    </row>
    <row r="32" spans="1:11" ht="13.5" thickBot="1">
      <c r="A32" s="58"/>
      <c r="B32" s="59"/>
      <c r="C32" s="59"/>
      <c r="D32" s="36"/>
      <c r="E32" s="36"/>
      <c r="F32" s="36"/>
      <c r="G32" s="36"/>
      <c r="H32" s="36"/>
      <c r="I32" s="36"/>
      <c r="J32" s="3"/>
      <c r="K32" s="29"/>
    </row>
    <row r="33" spans="1:11" ht="13.5" thickBot="1">
      <c r="A33" s="61" t="s">
        <v>30</v>
      </c>
      <c r="B33" s="62"/>
      <c r="C33" s="62"/>
      <c r="D33" s="33">
        <f>'Pryse + Sensatiwiteitsanali'!D4</f>
        <v>271</v>
      </c>
      <c r="E33" s="33">
        <f>$D$33</f>
        <v>271</v>
      </c>
      <c r="F33" s="33">
        <f>$D$33</f>
        <v>271</v>
      </c>
      <c r="G33" s="33">
        <f>$D$33</f>
        <v>271</v>
      </c>
      <c r="H33" s="33">
        <f>$D$33</f>
        <v>271</v>
      </c>
      <c r="I33" s="33">
        <f>$D$33</f>
        <v>271</v>
      </c>
      <c r="J33" s="3"/>
      <c r="K33" s="29"/>
    </row>
    <row r="34" spans="1:11" ht="13.5" thickBot="1">
      <c r="A34" s="58"/>
      <c r="B34" s="59"/>
      <c r="C34" s="59"/>
      <c r="D34" s="36"/>
      <c r="E34" s="36"/>
      <c r="F34" s="36"/>
      <c r="G34" s="36"/>
      <c r="H34" s="36"/>
      <c r="I34" s="36"/>
      <c r="J34" s="3"/>
      <c r="K34" s="29"/>
    </row>
    <row r="35" spans="1:11" ht="27.75" customHeight="1" thickBot="1">
      <c r="A35" s="225" t="s">
        <v>31</v>
      </c>
      <c r="B35" s="226"/>
      <c r="C35" s="227"/>
      <c r="D35" s="35">
        <f aca="true" t="shared" si="4" ref="D35:I35">D31+D33</f>
        <v>3252.160590189709</v>
      </c>
      <c r="E35" s="35">
        <f t="shared" si="4"/>
        <v>2944.702191024159</v>
      </c>
      <c r="F35" s="35">
        <f t="shared" si="4"/>
        <v>2728.217699346823</v>
      </c>
      <c r="G35" s="35">
        <f t="shared" si="4"/>
        <v>2559.840872486672</v>
      </c>
      <c r="H35" s="35">
        <f t="shared" si="4"/>
        <v>2430.7831340772823</v>
      </c>
      <c r="I35" s="35">
        <f t="shared" si="4"/>
        <v>2314.9291243264533</v>
      </c>
      <c r="J35" s="3"/>
      <c r="K35" s="29"/>
    </row>
    <row r="36" spans="1:11" ht="13.5" thickBot="1">
      <c r="A36" s="56" t="s">
        <v>32</v>
      </c>
      <c r="B36" s="57"/>
      <c r="C36" s="5"/>
      <c r="D36" s="35">
        <f>'Pryse + Sensatiwiteitsanali'!B4</f>
        <v>2000</v>
      </c>
      <c r="E36" s="35">
        <f>$D$36</f>
        <v>2000</v>
      </c>
      <c r="F36" s="35">
        <f>$D$36</f>
        <v>2000</v>
      </c>
      <c r="G36" s="35">
        <f>$D$36</f>
        <v>2000</v>
      </c>
      <c r="H36" s="35">
        <f>$D$36</f>
        <v>2000</v>
      </c>
      <c r="I36" s="35">
        <f>$D$36</f>
        <v>2000</v>
      </c>
      <c r="J36" s="14"/>
      <c r="K36" s="29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  <row r="40" spans="1:8" ht="12.75">
      <c r="A40" s="211" t="s">
        <v>40</v>
      </c>
      <c r="B40" s="212"/>
      <c r="C40" s="212"/>
      <c r="D40" s="212"/>
      <c r="E40" s="212"/>
      <c r="F40" s="212"/>
      <c r="G40" s="212"/>
      <c r="H40" s="213"/>
    </row>
    <row r="41" spans="1:8" ht="12.75">
      <c r="A41" s="214"/>
      <c r="B41" s="215"/>
      <c r="C41" s="215"/>
      <c r="D41" s="215"/>
      <c r="E41" s="215"/>
      <c r="F41" s="215"/>
      <c r="G41" s="215"/>
      <c r="H41" s="216"/>
    </row>
    <row r="42" spans="1:8" ht="12.75">
      <c r="A42" s="214"/>
      <c r="B42" s="215"/>
      <c r="C42" s="215"/>
      <c r="D42" s="215"/>
      <c r="E42" s="215"/>
      <c r="F42" s="215"/>
      <c r="G42" s="215"/>
      <c r="H42" s="216"/>
    </row>
    <row r="43" spans="1:8" ht="13.5" thickBot="1">
      <c r="A43" s="217"/>
      <c r="B43" s="218"/>
      <c r="C43" s="218"/>
      <c r="D43" s="218"/>
      <c r="E43" s="218"/>
      <c r="F43" s="218"/>
      <c r="G43" s="218"/>
      <c r="H43" s="219"/>
    </row>
  </sheetData>
  <sheetProtection/>
  <mergeCells count="11">
    <mergeCell ref="A27:C27"/>
    <mergeCell ref="A29:C29"/>
    <mergeCell ref="M7:O7"/>
    <mergeCell ref="A40:H43"/>
    <mergeCell ref="A1:D1"/>
    <mergeCell ref="E1:G1"/>
    <mergeCell ref="A31:C31"/>
    <mergeCell ref="A35:C35"/>
    <mergeCell ref="A3:C3"/>
    <mergeCell ref="A8:C8"/>
    <mergeCell ref="A25:C25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3" r:id="rId2"/>
  <headerFooter alignWithMargins="0">
    <oddHeader>&amp;C&amp;F</oddHead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0" zoomScaleNormal="80" zoomScalePageLayoutView="0" workbookViewId="0" topLeftCell="B5">
      <selection activeCell="A1" sqref="A1:D1"/>
    </sheetView>
  </sheetViews>
  <sheetFormatPr defaultColWidth="9.140625" defaultRowHeight="12.75"/>
  <cols>
    <col min="1" max="1" width="41.7109375" style="1" customWidth="1"/>
    <col min="2" max="2" width="18.00390625" style="1" customWidth="1"/>
    <col min="3" max="3" width="17.28125" style="1" customWidth="1"/>
    <col min="4" max="4" width="16.140625" style="1" customWidth="1"/>
    <col min="5" max="9" width="14.28125" style="1" customWidth="1"/>
    <col min="10" max="10" width="14.421875" style="1" customWidth="1"/>
    <col min="11" max="15" width="12.7109375" style="1" hidden="1" customWidth="1"/>
    <col min="16" max="26" width="12.7109375" style="1" customWidth="1"/>
    <col min="27" max="16384" width="9.140625" style="1" customWidth="1"/>
  </cols>
  <sheetData>
    <row r="1" spans="1:10" s="3" customFormat="1" ht="36" customHeight="1" thickBot="1">
      <c r="A1" s="220" t="s">
        <v>1</v>
      </c>
      <c r="B1" s="221"/>
      <c r="C1" s="221"/>
      <c r="D1" s="221"/>
      <c r="E1" s="222" t="s">
        <v>113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11" ht="25.5" customHeight="1" thickBot="1">
      <c r="A3" s="225" t="s">
        <v>6</v>
      </c>
      <c r="B3" s="226"/>
      <c r="C3" s="226"/>
      <c r="D3" s="30"/>
      <c r="E3" s="40">
        <f>'Pryse + Sensatiwiteitsanali'!B25</f>
        <v>1729</v>
      </c>
      <c r="F3" s="30" t="s">
        <v>0</v>
      </c>
      <c r="G3" s="19"/>
      <c r="H3" s="19"/>
      <c r="I3" s="5"/>
      <c r="K3" s="3"/>
    </row>
    <row r="4" spans="1:11" ht="13.5" thickBot="1">
      <c r="A4" s="60"/>
      <c r="B4" s="7"/>
      <c r="C4" s="7"/>
      <c r="D4" s="6"/>
      <c r="E4" s="9"/>
      <c r="F4" s="20"/>
      <c r="G4" s="7"/>
      <c r="H4" s="21"/>
      <c r="I4" s="21"/>
      <c r="J4" s="3"/>
      <c r="K4" s="14"/>
    </row>
    <row r="5" spans="1:11" ht="13.5" thickBot="1">
      <c r="A5" s="64" t="s">
        <v>7</v>
      </c>
      <c r="B5" s="7"/>
      <c r="C5" s="7"/>
      <c r="D5" s="48">
        <v>5</v>
      </c>
      <c r="E5" s="48">
        <v>5.75</v>
      </c>
      <c r="F5" s="48">
        <v>6.5</v>
      </c>
      <c r="G5" s="48">
        <v>7.25</v>
      </c>
      <c r="H5" s="48">
        <v>8</v>
      </c>
      <c r="I5" s="48">
        <v>8.75</v>
      </c>
      <c r="J5" s="3"/>
      <c r="K5" s="14"/>
    </row>
    <row r="6" spans="1:11" ht="13.5" thickBot="1">
      <c r="A6" s="65" t="s">
        <v>8</v>
      </c>
      <c r="B6" s="62"/>
      <c r="C6" s="63"/>
      <c r="D6" s="37">
        <f aca="true" t="shared" si="0" ref="D6:I6">$E$3*D5</f>
        <v>8645</v>
      </c>
      <c r="E6" s="37">
        <f t="shared" si="0"/>
        <v>9941.75</v>
      </c>
      <c r="F6" s="37">
        <f t="shared" si="0"/>
        <v>11238.5</v>
      </c>
      <c r="G6" s="37">
        <f t="shared" si="0"/>
        <v>12535.25</v>
      </c>
      <c r="H6" s="37">
        <f t="shared" si="0"/>
        <v>13832</v>
      </c>
      <c r="I6" s="37">
        <f t="shared" si="0"/>
        <v>15128.75</v>
      </c>
      <c r="J6" s="3"/>
      <c r="K6" s="14"/>
    </row>
    <row r="7" spans="1:15" ht="15.75" thickBot="1">
      <c r="A7" s="58"/>
      <c r="B7" s="59"/>
      <c r="C7" s="59"/>
      <c r="D7" s="23"/>
      <c r="E7" s="23"/>
      <c r="F7" s="23"/>
      <c r="G7" s="23"/>
      <c r="H7" s="23"/>
      <c r="I7" s="23"/>
      <c r="J7" s="3"/>
      <c r="K7" s="14"/>
      <c r="M7" s="210" t="s">
        <v>99</v>
      </c>
      <c r="N7" s="210"/>
      <c r="O7" s="210"/>
    </row>
    <row r="8" spans="1:15" ht="15.75" thickBot="1">
      <c r="A8" s="228" t="s">
        <v>9</v>
      </c>
      <c r="B8" s="229"/>
      <c r="C8" s="230"/>
      <c r="D8" s="24"/>
      <c r="E8" s="24"/>
      <c r="F8" s="24"/>
      <c r="G8" s="24"/>
      <c r="H8" s="24"/>
      <c r="I8" s="24"/>
      <c r="J8" s="3"/>
      <c r="K8" s="14"/>
      <c r="M8" s="187" t="s">
        <v>95</v>
      </c>
      <c r="N8" s="187" t="s">
        <v>96</v>
      </c>
      <c r="O8" s="187" t="s">
        <v>97</v>
      </c>
    </row>
    <row r="9" spans="1:15" ht="15">
      <c r="A9" s="69" t="s">
        <v>10</v>
      </c>
      <c r="B9" s="70"/>
      <c r="C9" s="70"/>
      <c r="D9" s="195">
        <v>1081.40625</v>
      </c>
      <c r="E9" s="195">
        <v>1129.46875</v>
      </c>
      <c r="F9" s="195">
        <v>1177.53125</v>
      </c>
      <c r="G9" s="195">
        <v>1225.59375</v>
      </c>
      <c r="H9" s="195">
        <v>1225.59375</v>
      </c>
      <c r="I9" s="195">
        <v>1249.625</v>
      </c>
      <c r="J9" s="3"/>
      <c r="K9" s="14"/>
      <c r="M9" s="188">
        <f>D5</f>
        <v>5</v>
      </c>
      <c r="N9" s="188">
        <f>D25</f>
        <v>8304.185978521946</v>
      </c>
      <c r="O9" s="188">
        <f>D27</f>
        <v>2571.812875124792</v>
      </c>
    </row>
    <row r="10" spans="1:15" ht="15">
      <c r="A10" s="66" t="s">
        <v>11</v>
      </c>
      <c r="B10" s="71"/>
      <c r="C10" s="71"/>
      <c r="D10" s="196">
        <v>2552.25</v>
      </c>
      <c r="E10" s="196">
        <v>2918.5875</v>
      </c>
      <c r="F10" s="196">
        <v>3284.925</v>
      </c>
      <c r="G10" s="196">
        <v>3651.2625</v>
      </c>
      <c r="H10" s="196">
        <v>4017.6000000000004</v>
      </c>
      <c r="I10" s="196">
        <v>4383.9375</v>
      </c>
      <c r="J10" s="3"/>
      <c r="K10" s="14"/>
      <c r="M10" s="188">
        <f>E5</f>
        <v>5.75</v>
      </c>
      <c r="N10" s="188">
        <f>E25</f>
        <v>8887.16490499177</v>
      </c>
      <c r="O10" s="188">
        <f>E27</f>
        <v>2571.812875124792</v>
      </c>
    </row>
    <row r="11" spans="1:15" ht="15">
      <c r="A11" s="66" t="s">
        <v>12</v>
      </c>
      <c r="B11" s="71"/>
      <c r="C11" s="71"/>
      <c r="D11" s="196">
        <v>556.5000000000001</v>
      </c>
      <c r="E11" s="196">
        <v>556.5000000000001</v>
      </c>
      <c r="F11" s="196">
        <v>556.5000000000001</v>
      </c>
      <c r="G11" s="196">
        <v>556.5000000000001</v>
      </c>
      <c r="H11" s="196">
        <v>556.5000000000001</v>
      </c>
      <c r="I11" s="196">
        <v>556.5000000000001</v>
      </c>
      <c r="J11" s="3"/>
      <c r="K11" s="14"/>
      <c r="M11" s="188">
        <f>F5</f>
        <v>6.5</v>
      </c>
      <c r="N11" s="188">
        <f>F25</f>
        <v>9470.143831461597</v>
      </c>
      <c r="O11" s="188">
        <f>F27</f>
        <v>2571.812875124792</v>
      </c>
    </row>
    <row r="12" spans="1:15" ht="15">
      <c r="A12" s="66" t="s">
        <v>13</v>
      </c>
      <c r="B12" s="71"/>
      <c r="C12" s="71"/>
      <c r="D12" s="196">
        <v>921.269783467277</v>
      </c>
      <c r="E12" s="196">
        <v>934.986862597088</v>
      </c>
      <c r="F12" s="196">
        <v>948.7039417268988</v>
      </c>
      <c r="G12" s="196">
        <v>962.4210208567098</v>
      </c>
      <c r="H12" s="196">
        <v>976.1380999865207</v>
      </c>
      <c r="I12" s="196">
        <v>989.8551791163317</v>
      </c>
      <c r="J12" s="3"/>
      <c r="K12" s="14"/>
      <c r="M12" s="188">
        <f>G5</f>
        <v>7.25</v>
      </c>
      <c r="N12" s="188">
        <f>G25</f>
        <v>10053.122757931422</v>
      </c>
      <c r="O12" s="188">
        <f>G27</f>
        <v>2571.812875124792</v>
      </c>
    </row>
    <row r="13" spans="1:15" ht="15">
      <c r="A13" s="66" t="s">
        <v>14</v>
      </c>
      <c r="B13" s="71"/>
      <c r="C13" s="71"/>
      <c r="D13" s="196">
        <v>756.6603</v>
      </c>
      <c r="E13" s="196">
        <v>761.2578000000001</v>
      </c>
      <c r="F13" s="196">
        <v>765.8552999999999</v>
      </c>
      <c r="G13" s="196">
        <v>770.4528</v>
      </c>
      <c r="H13" s="196">
        <v>775.0503000000001</v>
      </c>
      <c r="I13" s="196">
        <v>779.6478</v>
      </c>
      <c r="J13" s="3"/>
      <c r="K13" s="14"/>
      <c r="M13" s="188">
        <f>H5</f>
        <v>8</v>
      </c>
      <c r="N13" s="188">
        <f>H25</f>
        <v>10579.664453613943</v>
      </c>
      <c r="O13" s="188">
        <f>H27</f>
        <v>2571.812875124792</v>
      </c>
    </row>
    <row r="14" spans="1:15" ht="15">
      <c r="A14" s="66" t="s">
        <v>15</v>
      </c>
      <c r="B14" s="71"/>
      <c r="C14" s="71"/>
      <c r="D14" s="196">
        <v>605.0000000000001</v>
      </c>
      <c r="E14" s="196">
        <v>605.0000000000001</v>
      </c>
      <c r="F14" s="196">
        <v>605.0000000000001</v>
      </c>
      <c r="G14" s="196">
        <v>605.0000000000001</v>
      </c>
      <c r="H14" s="196">
        <v>605.0000000000001</v>
      </c>
      <c r="I14" s="196">
        <v>605.0000000000001</v>
      </c>
      <c r="J14" s="3"/>
      <c r="K14" s="14"/>
      <c r="M14" s="188">
        <f>I5</f>
        <v>8.75</v>
      </c>
      <c r="N14" s="188">
        <f>I25</f>
        <v>11134.424764690119</v>
      </c>
      <c r="O14" s="188">
        <f>I27</f>
        <v>2571.812875124792</v>
      </c>
    </row>
    <row r="15" spans="1:11" ht="12.75">
      <c r="A15" s="66" t="s">
        <v>16</v>
      </c>
      <c r="B15" s="71"/>
      <c r="C15" s="71"/>
      <c r="D15" s="196">
        <v>173.8</v>
      </c>
      <c r="E15" s="196">
        <v>173.8</v>
      </c>
      <c r="F15" s="196">
        <v>173.8</v>
      </c>
      <c r="G15" s="196">
        <v>173.8</v>
      </c>
      <c r="H15" s="196">
        <v>173.8</v>
      </c>
      <c r="I15" s="196">
        <v>173.8</v>
      </c>
      <c r="J15" s="3"/>
      <c r="K15" s="14"/>
    </row>
    <row r="16" spans="1:11" ht="12.75">
      <c r="A16" s="66" t="s">
        <v>17</v>
      </c>
      <c r="B16" s="71"/>
      <c r="C16" s="71"/>
      <c r="D16" s="196">
        <v>168.57750000000001</v>
      </c>
      <c r="E16" s="196">
        <v>193.86412499999997</v>
      </c>
      <c r="F16" s="196">
        <v>219.15075</v>
      </c>
      <c r="G16" s="196">
        <v>244.437375</v>
      </c>
      <c r="H16" s="196">
        <v>269.724</v>
      </c>
      <c r="I16" s="196">
        <v>295.010625</v>
      </c>
      <c r="J16" s="3"/>
      <c r="K16" s="14"/>
    </row>
    <row r="17" spans="1:11" ht="12.75">
      <c r="A17" s="66" t="s">
        <v>18</v>
      </c>
      <c r="B17" s="71"/>
      <c r="C17" s="71"/>
      <c r="D17" s="196">
        <v>818.0365914941906</v>
      </c>
      <c r="E17" s="196">
        <v>875.4652299129077</v>
      </c>
      <c r="F17" s="196">
        <v>932.8938683316251</v>
      </c>
      <c r="G17" s="196">
        <v>990.3225067503422</v>
      </c>
      <c r="H17" s="196">
        <v>1042.1915731621193</v>
      </c>
      <c r="I17" s="196">
        <v>1096.8404255773662</v>
      </c>
      <c r="J17" s="3"/>
      <c r="K17" s="14"/>
    </row>
    <row r="18" spans="1:11" ht="12.75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3"/>
      <c r="K18" s="14"/>
    </row>
    <row r="19" spans="1:11" ht="12.75">
      <c r="A19" s="66" t="s">
        <v>20</v>
      </c>
      <c r="B19" s="71"/>
      <c r="C19" s="71"/>
      <c r="D19" s="196">
        <v>256.46250000000003</v>
      </c>
      <c r="E19" s="196">
        <v>294.93187500000005</v>
      </c>
      <c r="F19" s="196">
        <v>333.40125000000006</v>
      </c>
      <c r="G19" s="196">
        <v>371.870625</v>
      </c>
      <c r="H19" s="196">
        <v>410.34000000000003</v>
      </c>
      <c r="I19" s="196">
        <v>448.80937500000005</v>
      </c>
      <c r="J19" s="3"/>
      <c r="K19" s="14"/>
    </row>
    <row r="20" spans="1:11" ht="12.75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3"/>
      <c r="K20" s="14"/>
    </row>
    <row r="21" spans="1:11" ht="12.75">
      <c r="A21" s="66" t="s">
        <v>22</v>
      </c>
      <c r="B21" s="71"/>
      <c r="C21" s="71"/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3"/>
      <c r="K21" s="14"/>
    </row>
    <row r="22" spans="1:11" ht="12.75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3"/>
      <c r="K22" s="14"/>
    </row>
    <row r="23" spans="1:11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3"/>
      <c r="K23" s="14"/>
    </row>
    <row r="24" spans="1:11" ht="13.5" thickBot="1">
      <c r="A24" s="66" t="s">
        <v>25</v>
      </c>
      <c r="B24" s="71"/>
      <c r="C24" s="71"/>
      <c r="D24" s="196">
        <v>414.223053560477</v>
      </c>
      <c r="E24" s="196">
        <v>443.3027624817748</v>
      </c>
      <c r="F24" s="196">
        <v>472.38247140307254</v>
      </c>
      <c r="G24" s="196">
        <v>501.4621803243702</v>
      </c>
      <c r="H24" s="196">
        <v>527.7267304653036</v>
      </c>
      <c r="I24" s="196">
        <v>555.3988599964192</v>
      </c>
      <c r="J24" s="3"/>
      <c r="K24" s="14"/>
    </row>
    <row r="25" spans="1:11" ht="25.5" customHeight="1" thickBot="1">
      <c r="A25" s="207" t="s">
        <v>26</v>
      </c>
      <c r="B25" s="208"/>
      <c r="C25" s="209"/>
      <c r="D25" s="33">
        <f aca="true" t="shared" si="1" ref="D25:I25">SUM(D9:D24)</f>
        <v>8304.185978521946</v>
      </c>
      <c r="E25" s="33">
        <f t="shared" si="1"/>
        <v>8887.16490499177</v>
      </c>
      <c r="F25" s="33">
        <f t="shared" si="1"/>
        <v>9470.143831461597</v>
      </c>
      <c r="G25" s="33">
        <f t="shared" si="1"/>
        <v>10053.122757931422</v>
      </c>
      <c r="H25" s="33">
        <f t="shared" si="1"/>
        <v>10579.664453613943</v>
      </c>
      <c r="I25" s="33">
        <f t="shared" si="1"/>
        <v>11134.424764690119</v>
      </c>
      <c r="J25" s="3"/>
      <c r="K25" s="14"/>
    </row>
    <row r="26" spans="1:11" ht="13.5" thickBot="1">
      <c r="A26" s="72"/>
      <c r="B26" s="73"/>
      <c r="C26" s="73"/>
      <c r="D26" s="34"/>
      <c r="E26" s="34"/>
      <c r="F26" s="34"/>
      <c r="G26" s="34"/>
      <c r="H26" s="34"/>
      <c r="I26" s="34"/>
      <c r="J26" s="3"/>
      <c r="K26" s="14"/>
    </row>
    <row r="27" spans="1:11" ht="13.5" thickBot="1">
      <c r="A27" s="231" t="s">
        <v>27</v>
      </c>
      <c r="B27" s="232"/>
      <c r="C27" s="233"/>
      <c r="D27" s="197">
        <v>2571.812875124792</v>
      </c>
      <c r="E27" s="197">
        <v>2571.812875124792</v>
      </c>
      <c r="F27" s="197">
        <v>2571.812875124792</v>
      </c>
      <c r="G27" s="197">
        <v>2571.812875124792</v>
      </c>
      <c r="H27" s="197">
        <v>2571.812875124792</v>
      </c>
      <c r="I27" s="197">
        <v>2571.812875124792</v>
      </c>
      <c r="J27" s="27"/>
      <c r="K27" s="14"/>
    </row>
    <row r="28" spans="1:11" ht="13.5" thickBot="1">
      <c r="A28" s="72"/>
      <c r="B28" s="73"/>
      <c r="C28" s="73"/>
      <c r="D28" s="34"/>
      <c r="E28" s="34"/>
      <c r="F28" s="34"/>
      <c r="G28" s="34"/>
      <c r="H28" s="34"/>
      <c r="I28" s="34"/>
      <c r="J28" s="3"/>
      <c r="K28" s="14"/>
    </row>
    <row r="29" spans="1:11" ht="27.75" customHeight="1" thickBot="1">
      <c r="A29" s="207" t="s">
        <v>28</v>
      </c>
      <c r="B29" s="208"/>
      <c r="C29" s="209"/>
      <c r="D29" s="33">
        <f aca="true" t="shared" si="2" ref="D29:I29">D25+D27</f>
        <v>10875.998853646737</v>
      </c>
      <c r="E29" s="33">
        <f t="shared" si="2"/>
        <v>11458.977780116562</v>
      </c>
      <c r="F29" s="33">
        <f t="shared" si="2"/>
        <v>12041.956706586388</v>
      </c>
      <c r="G29" s="33">
        <f t="shared" si="2"/>
        <v>12624.935633056213</v>
      </c>
      <c r="H29" s="33">
        <f t="shared" si="2"/>
        <v>13151.477328738734</v>
      </c>
      <c r="I29" s="33">
        <f t="shared" si="2"/>
        <v>13706.23763981491</v>
      </c>
      <c r="J29" s="3"/>
      <c r="K29" s="3"/>
    </row>
    <row r="30" spans="1:11" ht="13.5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3"/>
    </row>
    <row r="31" spans="1:11" ht="27.75" customHeight="1" thickBot="1">
      <c r="A31" s="207" t="s">
        <v>29</v>
      </c>
      <c r="B31" s="223"/>
      <c r="C31" s="224"/>
      <c r="D31" s="33">
        <f aca="true" t="shared" si="3" ref="D31:I31">D29/D5</f>
        <v>2175.1997707293476</v>
      </c>
      <c r="E31" s="33">
        <f t="shared" si="3"/>
        <v>1992.865700889837</v>
      </c>
      <c r="F31" s="33">
        <f t="shared" si="3"/>
        <v>1852.6087240902136</v>
      </c>
      <c r="G31" s="33">
        <f t="shared" si="3"/>
        <v>1741.3704321456846</v>
      </c>
      <c r="H31" s="33">
        <f t="shared" si="3"/>
        <v>1643.9346660923418</v>
      </c>
      <c r="I31" s="33">
        <f t="shared" si="3"/>
        <v>1566.4271588359898</v>
      </c>
      <c r="J31" s="3"/>
      <c r="K31" s="3"/>
    </row>
    <row r="32" spans="1:11" ht="13.5" thickBot="1">
      <c r="A32" s="58"/>
      <c r="B32" s="59"/>
      <c r="C32" s="59"/>
      <c r="D32" s="36"/>
      <c r="E32" s="36"/>
      <c r="F32" s="36"/>
      <c r="G32" s="36"/>
      <c r="H32" s="36"/>
      <c r="I32" s="36"/>
      <c r="J32" s="3"/>
      <c r="K32" s="14"/>
    </row>
    <row r="33" spans="1:11" ht="13.5" thickBot="1">
      <c r="A33" s="61" t="s">
        <v>30</v>
      </c>
      <c r="B33" s="62"/>
      <c r="C33" s="62"/>
      <c r="D33" s="33">
        <f>'Pryse + Sensatiwiteitsanali'!D4</f>
        <v>271</v>
      </c>
      <c r="E33" s="33">
        <f>$D$33</f>
        <v>271</v>
      </c>
      <c r="F33" s="33">
        <f>$D$33</f>
        <v>271</v>
      </c>
      <c r="G33" s="33">
        <f>$D$33</f>
        <v>271</v>
      </c>
      <c r="H33" s="33">
        <f>$D$33</f>
        <v>271</v>
      </c>
      <c r="I33" s="33">
        <f>$D$33</f>
        <v>271</v>
      </c>
      <c r="J33" s="3"/>
      <c r="K33" s="14"/>
    </row>
    <row r="34" spans="1:11" ht="13.5" thickBot="1">
      <c r="A34" s="58"/>
      <c r="B34" s="59"/>
      <c r="C34" s="59"/>
      <c r="D34" s="36"/>
      <c r="E34" s="36"/>
      <c r="F34" s="36"/>
      <c r="G34" s="36"/>
      <c r="H34" s="36"/>
      <c r="I34" s="36"/>
      <c r="J34" s="3"/>
      <c r="K34" s="14"/>
    </row>
    <row r="35" spans="1:11" ht="25.5" customHeight="1" thickBot="1">
      <c r="A35" s="225" t="s">
        <v>31</v>
      </c>
      <c r="B35" s="226"/>
      <c r="C35" s="227"/>
      <c r="D35" s="35">
        <f aca="true" t="shared" si="4" ref="D35:I35">D31+D33</f>
        <v>2446.1997707293476</v>
      </c>
      <c r="E35" s="35">
        <f t="shared" si="4"/>
        <v>2263.865700889837</v>
      </c>
      <c r="F35" s="35">
        <f t="shared" si="4"/>
        <v>2123.6087240902134</v>
      </c>
      <c r="G35" s="35">
        <f t="shared" si="4"/>
        <v>2012.3704321456846</v>
      </c>
      <c r="H35" s="35">
        <f t="shared" si="4"/>
        <v>1914.9346660923418</v>
      </c>
      <c r="I35" s="35">
        <f t="shared" si="4"/>
        <v>1837.4271588359898</v>
      </c>
      <c r="J35" s="3"/>
      <c r="K35" s="14"/>
    </row>
    <row r="36" spans="1:11" ht="13.5" thickBot="1">
      <c r="A36" s="56" t="s">
        <v>32</v>
      </c>
      <c r="B36" s="57"/>
      <c r="C36" s="5"/>
      <c r="D36" s="35">
        <f>'Pryse + Sensatiwiteitsanali'!B4</f>
        <v>2000</v>
      </c>
      <c r="E36" s="35">
        <f>$D$36</f>
        <v>2000</v>
      </c>
      <c r="F36" s="35">
        <f>$D$36</f>
        <v>2000</v>
      </c>
      <c r="G36" s="35">
        <f>$D$36</f>
        <v>2000</v>
      </c>
      <c r="H36" s="35">
        <f>$D$36</f>
        <v>2000</v>
      </c>
      <c r="I36" s="35">
        <f>$D$36</f>
        <v>2000</v>
      </c>
      <c r="J36" s="14"/>
      <c r="K36" s="3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  <row r="40" spans="1:8" ht="12.75">
      <c r="A40" s="211" t="s">
        <v>40</v>
      </c>
      <c r="B40" s="212"/>
      <c r="C40" s="212"/>
      <c r="D40" s="212"/>
      <c r="E40" s="212"/>
      <c r="F40" s="212"/>
      <c r="G40" s="212"/>
      <c r="H40" s="213"/>
    </row>
    <row r="41" spans="1:8" ht="12.75">
      <c r="A41" s="214"/>
      <c r="B41" s="215"/>
      <c r="C41" s="215"/>
      <c r="D41" s="215"/>
      <c r="E41" s="215"/>
      <c r="F41" s="215"/>
      <c r="G41" s="215"/>
      <c r="H41" s="216"/>
    </row>
    <row r="42" spans="1:8" ht="12.75">
      <c r="A42" s="214"/>
      <c r="B42" s="215"/>
      <c r="C42" s="215"/>
      <c r="D42" s="215"/>
      <c r="E42" s="215"/>
      <c r="F42" s="215"/>
      <c r="G42" s="215"/>
      <c r="H42" s="216"/>
    </row>
    <row r="43" spans="1:8" ht="13.5" thickBot="1">
      <c r="A43" s="217"/>
      <c r="B43" s="218"/>
      <c r="C43" s="218"/>
      <c r="D43" s="218"/>
      <c r="E43" s="218"/>
      <c r="F43" s="218"/>
      <c r="G43" s="218"/>
      <c r="H43" s="219"/>
    </row>
    <row r="72" ht="12.75"/>
    <row r="73" ht="12.75"/>
    <row r="74" ht="12.75"/>
    <row r="75" ht="12.75"/>
    <row r="76" ht="12.75"/>
    <row r="77" ht="12.75"/>
  </sheetData>
  <sheetProtection/>
  <mergeCells count="11">
    <mergeCell ref="A27:C27"/>
    <mergeCell ref="A29:C29"/>
    <mergeCell ref="M7:O7"/>
    <mergeCell ref="A40:H43"/>
    <mergeCell ref="E1:G1"/>
    <mergeCell ref="A1:D1"/>
    <mergeCell ref="A31:C31"/>
    <mergeCell ref="A35:C35"/>
    <mergeCell ref="A3:C3"/>
    <mergeCell ref="A8:C8"/>
    <mergeCell ref="A25:C25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1" customWidth="1"/>
    <col min="2" max="2" width="14.7109375" style="1" customWidth="1"/>
    <col min="3" max="3" width="20.421875" style="1" customWidth="1"/>
    <col min="4" max="4" width="16.7109375" style="1" customWidth="1"/>
    <col min="5" max="5" width="14.421875" style="1" customWidth="1"/>
    <col min="6" max="9" width="14.28125" style="1" customWidth="1"/>
    <col min="10" max="10" width="14.421875" style="1" customWidth="1"/>
    <col min="11" max="15" width="12.7109375" style="1" hidden="1" customWidth="1"/>
    <col min="16" max="26" width="12.7109375" style="1" customWidth="1"/>
    <col min="27" max="16384" width="9.140625" style="1" customWidth="1"/>
  </cols>
  <sheetData>
    <row r="1" spans="1:10" s="3" customFormat="1" ht="31.5" customHeight="1" thickBot="1">
      <c r="A1" s="220" t="s">
        <v>2</v>
      </c>
      <c r="B1" s="221"/>
      <c r="C1" s="221"/>
      <c r="D1" s="221"/>
      <c r="E1" s="222" t="s">
        <v>113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11" ht="27.75" customHeight="1" thickBot="1">
      <c r="A3" s="225" t="s">
        <v>6</v>
      </c>
      <c r="B3" s="226"/>
      <c r="C3" s="226"/>
      <c r="D3" s="30"/>
      <c r="E3" s="40">
        <f>'Pryse + Sensatiwiteitsanali'!B25</f>
        <v>1729</v>
      </c>
      <c r="F3" s="30" t="s">
        <v>0</v>
      </c>
      <c r="G3" s="19"/>
      <c r="H3" s="19"/>
      <c r="I3" s="5"/>
      <c r="K3" s="3"/>
    </row>
    <row r="4" spans="1:12" ht="13.5" thickBot="1">
      <c r="A4" s="60"/>
      <c r="B4" s="7"/>
      <c r="C4" s="7"/>
      <c r="D4" s="6"/>
      <c r="E4" s="9"/>
      <c r="F4" s="20"/>
      <c r="G4" s="7"/>
      <c r="H4" s="21"/>
      <c r="I4" s="21"/>
      <c r="J4" s="3"/>
      <c r="K4" s="14"/>
      <c r="L4" s="14"/>
    </row>
    <row r="5" spans="1:12" ht="13.5" thickBot="1">
      <c r="A5" s="64" t="s">
        <v>7</v>
      </c>
      <c r="B5" s="7"/>
      <c r="C5" s="7"/>
      <c r="D5" s="48">
        <v>3.5</v>
      </c>
      <c r="E5" s="48">
        <v>4</v>
      </c>
      <c r="F5" s="48">
        <v>4.5</v>
      </c>
      <c r="G5" s="48">
        <v>5</v>
      </c>
      <c r="H5" s="48">
        <v>6</v>
      </c>
      <c r="I5" s="48">
        <v>7</v>
      </c>
      <c r="J5" s="3"/>
      <c r="K5" s="53"/>
      <c r="L5" s="53"/>
    </row>
    <row r="6" spans="1:12" ht="13.5" thickBot="1">
      <c r="A6" s="65" t="s">
        <v>8</v>
      </c>
      <c r="B6" s="62"/>
      <c r="C6" s="63"/>
      <c r="D6" s="37">
        <f aca="true" t="shared" si="0" ref="D6:I6">$E$3*D5</f>
        <v>6051.5</v>
      </c>
      <c r="E6" s="37">
        <f t="shared" si="0"/>
        <v>6916</v>
      </c>
      <c r="F6" s="37">
        <f t="shared" si="0"/>
        <v>7780.5</v>
      </c>
      <c r="G6" s="37">
        <f t="shared" si="0"/>
        <v>8645</v>
      </c>
      <c r="H6" s="37">
        <f t="shared" si="0"/>
        <v>10374</v>
      </c>
      <c r="I6" s="37">
        <f t="shared" si="0"/>
        <v>12103</v>
      </c>
      <c r="J6" s="3"/>
      <c r="K6" s="54"/>
      <c r="L6" s="54"/>
    </row>
    <row r="7" spans="1:15" ht="15.75" thickBot="1">
      <c r="A7" s="58"/>
      <c r="B7" s="59"/>
      <c r="C7" s="59"/>
      <c r="D7" s="23"/>
      <c r="E7" s="23"/>
      <c r="F7" s="23"/>
      <c r="G7" s="23"/>
      <c r="H7" s="23"/>
      <c r="I7" s="23"/>
      <c r="J7" s="3"/>
      <c r="K7" s="55"/>
      <c r="L7" s="55"/>
      <c r="M7" s="210" t="s">
        <v>100</v>
      </c>
      <c r="N7" s="210"/>
      <c r="O7" s="210"/>
    </row>
    <row r="8" spans="1:15" ht="25.5" customHeight="1" thickBot="1">
      <c r="A8" s="228" t="s">
        <v>9</v>
      </c>
      <c r="B8" s="229"/>
      <c r="C8" s="230"/>
      <c r="D8" s="24"/>
      <c r="E8" s="24"/>
      <c r="F8" s="24"/>
      <c r="G8" s="24"/>
      <c r="H8" s="24"/>
      <c r="I8" s="24"/>
      <c r="J8" s="3"/>
      <c r="K8" s="3"/>
      <c r="L8" s="3"/>
      <c r="M8" s="187" t="s">
        <v>95</v>
      </c>
      <c r="N8" s="187" t="s">
        <v>96</v>
      </c>
      <c r="O8" s="187" t="s">
        <v>97</v>
      </c>
    </row>
    <row r="9" spans="1:15" ht="15">
      <c r="A9" s="69" t="s">
        <v>10</v>
      </c>
      <c r="B9" s="70"/>
      <c r="C9" s="70"/>
      <c r="D9" s="195">
        <v>966.3756249999999</v>
      </c>
      <c r="E9" s="195">
        <v>1017.2374999999998</v>
      </c>
      <c r="F9" s="195">
        <v>1068.0993749999998</v>
      </c>
      <c r="G9" s="195">
        <v>1118.96125</v>
      </c>
      <c r="H9" s="195">
        <v>1220.685</v>
      </c>
      <c r="I9" s="195">
        <v>1322.4087499999998</v>
      </c>
      <c r="J9" s="3"/>
      <c r="K9" s="39"/>
      <c r="L9" s="39"/>
      <c r="M9" s="188">
        <f>D5</f>
        <v>3.5</v>
      </c>
      <c r="N9" s="188">
        <f>D25</f>
        <v>7207.946117455296</v>
      </c>
      <c r="O9" s="188">
        <f>D27</f>
        <v>2456.947875124792</v>
      </c>
    </row>
    <row r="10" spans="1:15" ht="15">
      <c r="A10" s="66" t="s">
        <v>11</v>
      </c>
      <c r="B10" s="71"/>
      <c r="C10" s="71"/>
      <c r="D10" s="196">
        <v>1819.575</v>
      </c>
      <c r="E10" s="196">
        <v>2063.8</v>
      </c>
      <c r="F10" s="196">
        <v>2308.0249999999996</v>
      </c>
      <c r="G10" s="196">
        <v>2552.25</v>
      </c>
      <c r="H10" s="196">
        <v>3040.7</v>
      </c>
      <c r="I10" s="196">
        <v>3529.15</v>
      </c>
      <c r="J10" s="3"/>
      <c r="K10" s="39"/>
      <c r="L10" s="39"/>
      <c r="M10" s="188">
        <f>E5</f>
        <v>4</v>
      </c>
      <c r="N10" s="188">
        <f>E25</f>
        <v>7627.214923443452</v>
      </c>
      <c r="O10" s="188">
        <f>E27</f>
        <v>2456.947875124792</v>
      </c>
    </row>
    <row r="11" spans="1:15" ht="15">
      <c r="A11" s="66" t="s">
        <v>12</v>
      </c>
      <c r="B11" s="71"/>
      <c r="C11" s="71"/>
      <c r="D11" s="196">
        <v>556.5000000000001</v>
      </c>
      <c r="E11" s="196">
        <v>556.5000000000001</v>
      </c>
      <c r="F11" s="196">
        <v>556.5000000000001</v>
      </c>
      <c r="G11" s="196">
        <v>556.5000000000001</v>
      </c>
      <c r="H11" s="196">
        <v>556.5000000000001</v>
      </c>
      <c r="I11" s="196">
        <v>556.5000000000001</v>
      </c>
      <c r="J11" s="3"/>
      <c r="K11" s="39"/>
      <c r="L11" s="39"/>
      <c r="M11" s="188">
        <f>F5</f>
        <v>4.5</v>
      </c>
      <c r="N11" s="188">
        <f>F25</f>
        <v>8046.483729431607</v>
      </c>
      <c r="O11" s="188">
        <f>F27</f>
        <v>2456.947875124792</v>
      </c>
    </row>
    <row r="12" spans="1:15" ht="15">
      <c r="A12" s="66" t="s">
        <v>13</v>
      </c>
      <c r="B12" s="71"/>
      <c r="C12" s="71"/>
      <c r="D12" s="196">
        <v>947.1875892765878</v>
      </c>
      <c r="E12" s="196">
        <v>962.3028345318068</v>
      </c>
      <c r="F12" s="196">
        <v>977.4180797870258</v>
      </c>
      <c r="G12" s="196">
        <v>992.5333250422448</v>
      </c>
      <c r="H12" s="196">
        <v>1017.0599494186379</v>
      </c>
      <c r="I12" s="196">
        <v>1041.5865737950307</v>
      </c>
      <c r="J12" s="3"/>
      <c r="K12" s="39"/>
      <c r="L12" s="39"/>
      <c r="M12" s="188">
        <f>G5</f>
        <v>5</v>
      </c>
      <c r="N12" s="188">
        <f>G25</f>
        <v>8465.752535419762</v>
      </c>
      <c r="O12" s="188">
        <f>G27</f>
        <v>2456.947875124792</v>
      </c>
    </row>
    <row r="13" spans="1:15" ht="15">
      <c r="A13" s="66" t="s">
        <v>14</v>
      </c>
      <c r="B13" s="71"/>
      <c r="C13" s="71"/>
      <c r="D13" s="196">
        <v>730.4153</v>
      </c>
      <c r="E13" s="196">
        <v>733.4803</v>
      </c>
      <c r="F13" s="196">
        <v>736.5453</v>
      </c>
      <c r="G13" s="196">
        <v>739.6103</v>
      </c>
      <c r="H13" s="196">
        <v>745.7403</v>
      </c>
      <c r="I13" s="196">
        <v>751.8703</v>
      </c>
      <c r="J13" s="3"/>
      <c r="K13" s="39"/>
      <c r="L13" s="39"/>
      <c r="M13" s="188">
        <f>H5</f>
        <v>6</v>
      </c>
      <c r="N13" s="188">
        <f>H25</f>
        <v>9297.592401557073</v>
      </c>
      <c r="O13" s="188">
        <f>H27</f>
        <v>2456.947875124792</v>
      </c>
    </row>
    <row r="14" spans="1:15" ht="15">
      <c r="A14" s="66" t="s">
        <v>15</v>
      </c>
      <c r="B14" s="71"/>
      <c r="C14" s="71"/>
      <c r="D14" s="196">
        <v>778.8000000000001</v>
      </c>
      <c r="E14" s="196">
        <v>778.8000000000001</v>
      </c>
      <c r="F14" s="196">
        <v>778.8000000000001</v>
      </c>
      <c r="G14" s="196">
        <v>778.8000000000001</v>
      </c>
      <c r="H14" s="196">
        <v>778.8000000000001</v>
      </c>
      <c r="I14" s="196">
        <v>778.8000000000001</v>
      </c>
      <c r="J14" s="3"/>
      <c r="K14" s="39"/>
      <c r="L14" s="39"/>
      <c r="M14" s="188">
        <f>I5</f>
        <v>7</v>
      </c>
      <c r="N14" s="188">
        <f>I25</f>
        <v>10129.432267694381</v>
      </c>
      <c r="O14" s="188">
        <f>I27</f>
        <v>2374.2999999999997</v>
      </c>
    </row>
    <row r="15" spans="1:12" ht="12.75">
      <c r="A15" s="66" t="s">
        <v>16</v>
      </c>
      <c r="B15" s="71"/>
      <c r="C15" s="71"/>
      <c r="D15" s="196">
        <v>33.00000000000001</v>
      </c>
      <c r="E15" s="196">
        <v>33.00000000000001</v>
      </c>
      <c r="F15" s="196">
        <v>33.00000000000001</v>
      </c>
      <c r="G15" s="196">
        <v>33.00000000000001</v>
      </c>
      <c r="H15" s="196">
        <v>33.00000000000001</v>
      </c>
      <c r="I15" s="196">
        <v>33.00000000000001</v>
      </c>
      <c r="J15" s="3"/>
      <c r="K15" s="39"/>
      <c r="L15" s="39"/>
    </row>
    <row r="16" spans="1:12" ht="12.75">
      <c r="A16" s="66" t="s">
        <v>17</v>
      </c>
      <c r="B16" s="71"/>
      <c r="C16" s="71"/>
      <c r="D16" s="196">
        <v>118.00425000000001</v>
      </c>
      <c r="E16" s="196">
        <v>134.862</v>
      </c>
      <c r="F16" s="196">
        <v>151.71974999999998</v>
      </c>
      <c r="G16" s="196">
        <v>168.57750000000001</v>
      </c>
      <c r="H16" s="196">
        <v>202.293</v>
      </c>
      <c r="I16" s="196">
        <v>236.00850000000003</v>
      </c>
      <c r="J16" s="3"/>
      <c r="K16" s="39"/>
      <c r="L16" s="39"/>
    </row>
    <row r="17" spans="1:12" ht="12.75">
      <c r="A17" s="66" t="s">
        <v>18</v>
      </c>
      <c r="B17" s="71"/>
      <c r="C17" s="71"/>
      <c r="D17" s="196">
        <v>710.0471604137175</v>
      </c>
      <c r="E17" s="196">
        <v>751.3488877422565</v>
      </c>
      <c r="F17" s="196">
        <v>792.6506150707953</v>
      </c>
      <c r="G17" s="196">
        <v>833.9523423993344</v>
      </c>
      <c r="H17" s="196">
        <v>915.8960091866555</v>
      </c>
      <c r="I17" s="196">
        <v>997.839675973977</v>
      </c>
      <c r="J17" s="3"/>
      <c r="K17" s="39"/>
      <c r="L17" s="39"/>
    </row>
    <row r="18" spans="1:12" ht="12.75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3"/>
      <c r="K18" s="39"/>
      <c r="L18" s="39"/>
    </row>
    <row r="19" spans="1:12" ht="12.75">
      <c r="A19" s="66" t="s">
        <v>20</v>
      </c>
      <c r="B19" s="71"/>
      <c r="C19" s="71"/>
      <c r="D19" s="196">
        <v>188.49993750000002</v>
      </c>
      <c r="E19" s="196">
        <v>215.42850000000004</v>
      </c>
      <c r="F19" s="196">
        <v>242.35706250000004</v>
      </c>
      <c r="G19" s="196">
        <v>269.28562500000004</v>
      </c>
      <c r="H19" s="196">
        <v>323.1427500000001</v>
      </c>
      <c r="I19" s="196">
        <v>376.99987500000003</v>
      </c>
      <c r="J19" s="3"/>
      <c r="K19" s="39"/>
      <c r="L19" s="39"/>
    </row>
    <row r="20" spans="1:12" ht="12.75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3"/>
      <c r="K20" s="39"/>
      <c r="L20" s="39"/>
    </row>
    <row r="21" spans="1:12" ht="12.75">
      <c r="A21" s="66" t="s">
        <v>22</v>
      </c>
      <c r="B21" s="71"/>
      <c r="C21" s="71"/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3"/>
      <c r="K21" s="39"/>
      <c r="L21" s="39"/>
    </row>
    <row r="22" spans="1:12" ht="12.75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3"/>
      <c r="K22" s="39"/>
      <c r="L22" s="39"/>
    </row>
    <row r="23" spans="1:12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3"/>
      <c r="K23" s="39"/>
      <c r="L23" s="39"/>
    </row>
    <row r="24" spans="1:12" ht="13.5" thickBot="1">
      <c r="A24" s="66" t="s">
        <v>25</v>
      </c>
      <c r="B24" s="71"/>
      <c r="C24" s="71"/>
      <c r="D24" s="196">
        <v>359.541255264991</v>
      </c>
      <c r="E24" s="196">
        <v>380.4549011693883</v>
      </c>
      <c r="F24" s="196">
        <v>401.3685470737856</v>
      </c>
      <c r="G24" s="196">
        <v>422.2821929781829</v>
      </c>
      <c r="H24" s="196">
        <v>463.77539295177786</v>
      </c>
      <c r="I24" s="196">
        <v>505.26859292537284</v>
      </c>
      <c r="J24" s="3"/>
      <c r="K24" s="39"/>
      <c r="L24" s="39"/>
    </row>
    <row r="25" spans="1:12" ht="25.5" customHeight="1" thickBot="1">
      <c r="A25" s="207" t="s">
        <v>26</v>
      </c>
      <c r="B25" s="208"/>
      <c r="C25" s="209"/>
      <c r="D25" s="33">
        <f aca="true" t="shared" si="1" ref="D25:I25">SUM(D9:D24)</f>
        <v>7207.946117455296</v>
      </c>
      <c r="E25" s="33">
        <f t="shared" si="1"/>
        <v>7627.214923443452</v>
      </c>
      <c r="F25" s="33">
        <f t="shared" si="1"/>
        <v>8046.483729431607</v>
      </c>
      <c r="G25" s="33">
        <f t="shared" si="1"/>
        <v>8465.752535419762</v>
      </c>
      <c r="H25" s="33">
        <f t="shared" si="1"/>
        <v>9297.592401557073</v>
      </c>
      <c r="I25" s="33">
        <f t="shared" si="1"/>
        <v>10129.432267694381</v>
      </c>
      <c r="J25" s="3"/>
      <c r="K25" s="53"/>
      <c r="L25" s="53"/>
    </row>
    <row r="26" spans="1:11" ht="13.5" thickBot="1">
      <c r="A26" s="72"/>
      <c r="B26" s="73"/>
      <c r="C26" s="73"/>
      <c r="D26" s="34"/>
      <c r="E26" s="34"/>
      <c r="F26" s="34"/>
      <c r="G26" s="34"/>
      <c r="H26" s="34"/>
      <c r="I26" s="34"/>
      <c r="J26" s="3"/>
      <c r="K26" s="14"/>
    </row>
    <row r="27" spans="1:11" ht="13.5" thickBot="1">
      <c r="A27" s="231" t="s">
        <v>27</v>
      </c>
      <c r="B27" s="232"/>
      <c r="C27" s="233"/>
      <c r="D27" s="197">
        <v>2456.947875124792</v>
      </c>
      <c r="E27" s="197">
        <v>2456.947875124792</v>
      </c>
      <c r="F27" s="197">
        <v>2456.947875124792</v>
      </c>
      <c r="G27" s="197">
        <v>2456.947875124792</v>
      </c>
      <c r="H27" s="197">
        <v>2456.947875124792</v>
      </c>
      <c r="I27" s="197">
        <v>2374.2999999999997</v>
      </c>
      <c r="J27" s="27"/>
      <c r="K27" s="14"/>
    </row>
    <row r="28" spans="1:11" ht="13.5" thickBot="1">
      <c r="A28" s="72"/>
      <c r="B28" s="73"/>
      <c r="C28" s="73"/>
      <c r="D28" s="34"/>
      <c r="E28" s="34"/>
      <c r="F28" s="34"/>
      <c r="G28" s="34"/>
      <c r="H28" s="34"/>
      <c r="I28" s="34"/>
      <c r="J28" s="3"/>
      <c r="K28" s="14"/>
    </row>
    <row r="29" spans="1:11" ht="25.5" customHeight="1" thickBot="1">
      <c r="A29" s="207" t="s">
        <v>28</v>
      </c>
      <c r="B29" s="208"/>
      <c r="C29" s="209"/>
      <c r="D29" s="33">
        <f aca="true" t="shared" si="2" ref="D29:I29">D25+D27</f>
        <v>9664.893992580088</v>
      </c>
      <c r="E29" s="33">
        <f t="shared" si="2"/>
        <v>10084.162798568244</v>
      </c>
      <c r="F29" s="33">
        <f t="shared" si="2"/>
        <v>10503.4316045564</v>
      </c>
      <c r="G29" s="33">
        <f t="shared" si="2"/>
        <v>10922.700410544554</v>
      </c>
      <c r="H29" s="33">
        <f t="shared" si="2"/>
        <v>11754.540276681864</v>
      </c>
      <c r="I29" s="33">
        <f t="shared" si="2"/>
        <v>12503.73226769438</v>
      </c>
      <c r="J29" s="3"/>
      <c r="K29" s="3"/>
    </row>
    <row r="30" spans="1:11" ht="13.5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3"/>
    </row>
    <row r="31" spans="1:11" ht="25.5" customHeight="1" thickBot="1">
      <c r="A31" s="207" t="s">
        <v>29</v>
      </c>
      <c r="B31" s="223"/>
      <c r="C31" s="224"/>
      <c r="D31" s="33">
        <f aca="true" t="shared" si="3" ref="D31:I31">D29/D5</f>
        <v>2761.3982835943107</v>
      </c>
      <c r="E31" s="33">
        <f t="shared" si="3"/>
        <v>2521.040699642061</v>
      </c>
      <c r="F31" s="33">
        <f t="shared" si="3"/>
        <v>2334.095912123644</v>
      </c>
      <c r="G31" s="33">
        <f t="shared" si="3"/>
        <v>2184.5400821089106</v>
      </c>
      <c r="H31" s="33">
        <f t="shared" si="3"/>
        <v>1959.0900461136441</v>
      </c>
      <c r="I31" s="33">
        <f t="shared" si="3"/>
        <v>1786.247466813483</v>
      </c>
      <c r="J31" s="3"/>
      <c r="K31" s="3"/>
    </row>
    <row r="32" spans="1:11" ht="13.5" thickBot="1">
      <c r="A32" s="58"/>
      <c r="B32" s="59"/>
      <c r="C32" s="59"/>
      <c r="D32" s="36"/>
      <c r="E32" s="36"/>
      <c r="F32" s="36"/>
      <c r="G32" s="36"/>
      <c r="H32" s="36"/>
      <c r="I32" s="36"/>
      <c r="J32" s="3"/>
      <c r="K32" s="14"/>
    </row>
    <row r="33" spans="1:11" ht="13.5" thickBot="1">
      <c r="A33" s="61" t="s">
        <v>30</v>
      </c>
      <c r="B33" s="62"/>
      <c r="C33" s="62"/>
      <c r="D33" s="33">
        <f>'Pryse + Sensatiwiteitsanali'!D4</f>
        <v>271</v>
      </c>
      <c r="E33" s="33">
        <f>$D$33</f>
        <v>271</v>
      </c>
      <c r="F33" s="33">
        <f>$D$33</f>
        <v>271</v>
      </c>
      <c r="G33" s="33">
        <f>$D$33</f>
        <v>271</v>
      </c>
      <c r="H33" s="33">
        <f>$D$33</f>
        <v>271</v>
      </c>
      <c r="I33" s="33">
        <f>$D$33</f>
        <v>271</v>
      </c>
      <c r="J33" s="3"/>
      <c r="K33" s="14"/>
    </row>
    <row r="34" spans="1:11" ht="13.5" thickBot="1">
      <c r="A34" s="58"/>
      <c r="B34" s="59"/>
      <c r="C34" s="59"/>
      <c r="D34" s="36"/>
      <c r="E34" s="36"/>
      <c r="F34" s="36"/>
      <c r="G34" s="36"/>
      <c r="H34" s="36"/>
      <c r="I34" s="36"/>
      <c r="J34" s="3"/>
      <c r="K34" s="14"/>
    </row>
    <row r="35" spans="1:11" ht="27.75" customHeight="1" thickBot="1">
      <c r="A35" s="225" t="s">
        <v>31</v>
      </c>
      <c r="B35" s="226"/>
      <c r="C35" s="227"/>
      <c r="D35" s="35">
        <f aca="true" t="shared" si="4" ref="D35:I35">D31+D33</f>
        <v>3032.3982835943107</v>
      </c>
      <c r="E35" s="35">
        <f t="shared" si="4"/>
        <v>2792.040699642061</v>
      </c>
      <c r="F35" s="35">
        <f t="shared" si="4"/>
        <v>2605.095912123644</v>
      </c>
      <c r="G35" s="35">
        <f t="shared" si="4"/>
        <v>2455.5400821089106</v>
      </c>
      <c r="H35" s="35">
        <f t="shared" si="4"/>
        <v>2230.0900461136443</v>
      </c>
      <c r="I35" s="35">
        <f t="shared" si="4"/>
        <v>2057.247466813483</v>
      </c>
      <c r="J35" s="3"/>
      <c r="K35" s="14"/>
    </row>
    <row r="36" spans="1:11" ht="13.5" thickBot="1">
      <c r="A36" s="56" t="s">
        <v>32</v>
      </c>
      <c r="B36" s="57"/>
      <c r="C36" s="5"/>
      <c r="D36" s="35">
        <f>'Pryse + Sensatiwiteitsanali'!B4</f>
        <v>2000</v>
      </c>
      <c r="E36" s="35">
        <f>$D$36</f>
        <v>2000</v>
      </c>
      <c r="F36" s="35">
        <f>$D$36</f>
        <v>2000</v>
      </c>
      <c r="G36" s="35">
        <f>$D$36</f>
        <v>2000</v>
      </c>
      <c r="H36" s="35">
        <f>$D$36</f>
        <v>2000</v>
      </c>
      <c r="I36" s="35">
        <f>$D$36</f>
        <v>2000</v>
      </c>
      <c r="J36" s="14"/>
      <c r="K36" s="3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  <row r="40" spans="1:8" ht="12.75">
      <c r="A40" s="211" t="s">
        <v>40</v>
      </c>
      <c r="B40" s="212"/>
      <c r="C40" s="212"/>
      <c r="D40" s="212"/>
      <c r="E40" s="212"/>
      <c r="F40" s="212"/>
      <c r="G40" s="212"/>
      <c r="H40" s="213"/>
    </row>
    <row r="41" spans="1:8" ht="12.75">
      <c r="A41" s="214"/>
      <c r="B41" s="215"/>
      <c r="C41" s="215"/>
      <c r="D41" s="215"/>
      <c r="E41" s="215"/>
      <c r="F41" s="215"/>
      <c r="G41" s="215"/>
      <c r="H41" s="216"/>
    </row>
    <row r="42" spans="1:8" ht="12.75">
      <c r="A42" s="214"/>
      <c r="B42" s="215"/>
      <c r="C42" s="215"/>
      <c r="D42" s="215"/>
      <c r="E42" s="215"/>
      <c r="F42" s="215"/>
      <c r="G42" s="215"/>
      <c r="H42" s="216"/>
    </row>
    <row r="43" spans="1:8" ht="13.5" thickBot="1">
      <c r="A43" s="217"/>
      <c r="B43" s="218"/>
      <c r="C43" s="218"/>
      <c r="D43" s="218"/>
      <c r="E43" s="218"/>
      <c r="F43" s="218"/>
      <c r="G43" s="218"/>
      <c r="H43" s="219"/>
    </row>
  </sheetData>
  <sheetProtection/>
  <mergeCells count="11">
    <mergeCell ref="A27:C27"/>
    <mergeCell ref="A29:C29"/>
    <mergeCell ref="M7:O7"/>
    <mergeCell ref="A40:H43"/>
    <mergeCell ref="A1:D1"/>
    <mergeCell ref="E1:G1"/>
    <mergeCell ref="A31:C31"/>
    <mergeCell ref="A35:C35"/>
    <mergeCell ref="A3:C3"/>
    <mergeCell ref="A8:C8"/>
    <mergeCell ref="A25:C25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59" r:id="rId2"/>
  <headerFooter alignWithMargins="0">
    <oddHeader>&amp;C&amp;F</oddHeader>
    <oddFooter>&amp;C&amp;A&amp;RPage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0" zoomScaleNormal="80" zoomScalePageLayoutView="0" workbookViewId="0" topLeftCell="A1">
      <selection activeCell="A1" sqref="A1:D1"/>
    </sheetView>
  </sheetViews>
  <sheetFormatPr defaultColWidth="9.140625" defaultRowHeight="12.75"/>
  <cols>
    <col min="1" max="1" width="41.7109375" style="1" customWidth="1"/>
    <col min="2" max="2" width="18.00390625" style="1" customWidth="1"/>
    <col min="3" max="3" width="17.28125" style="1" customWidth="1"/>
    <col min="4" max="4" width="16.140625" style="1" customWidth="1"/>
    <col min="5" max="9" width="14.28125" style="1" customWidth="1"/>
    <col min="10" max="10" width="14.421875" style="1" customWidth="1"/>
    <col min="11" max="26" width="12.7109375" style="1" customWidth="1"/>
    <col min="27" max="16384" width="9.140625" style="1" customWidth="1"/>
  </cols>
  <sheetData>
    <row r="1" spans="1:10" s="3" customFormat="1" ht="34.5" customHeight="1" thickBot="1">
      <c r="A1" s="220" t="s">
        <v>41</v>
      </c>
      <c r="B1" s="221"/>
      <c r="C1" s="221"/>
      <c r="D1" s="221"/>
      <c r="E1" s="222" t="s">
        <v>113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11" ht="26.25" customHeight="1" thickBot="1">
      <c r="A3" s="225" t="s">
        <v>6</v>
      </c>
      <c r="B3" s="226"/>
      <c r="C3" s="226"/>
      <c r="D3" s="30"/>
      <c r="E3" s="40">
        <f>'Pryse + Sensatiwiteitsanali'!B25</f>
        <v>1729</v>
      </c>
      <c r="F3" s="30" t="s">
        <v>0</v>
      </c>
      <c r="G3" s="19"/>
      <c r="H3" s="19"/>
      <c r="I3" s="5"/>
      <c r="K3" s="3"/>
    </row>
    <row r="4" spans="1:11" ht="13.5" thickBot="1">
      <c r="A4" s="60"/>
      <c r="B4" s="7"/>
      <c r="C4" s="7"/>
      <c r="D4" s="44"/>
      <c r="E4" s="38"/>
      <c r="F4" s="45"/>
      <c r="G4" s="46"/>
      <c r="H4" s="47"/>
      <c r="I4" s="47"/>
      <c r="J4" s="3"/>
      <c r="K4" s="14"/>
    </row>
    <row r="5" spans="1:11" ht="13.5" thickBot="1">
      <c r="A5" s="64" t="s">
        <v>7</v>
      </c>
      <c r="B5" s="7"/>
      <c r="C5" s="7"/>
      <c r="D5" s="48">
        <v>3.5</v>
      </c>
      <c r="E5" s="48">
        <v>4</v>
      </c>
      <c r="F5" s="48">
        <v>4.5</v>
      </c>
      <c r="G5" s="48">
        <v>5</v>
      </c>
      <c r="H5" s="48">
        <v>6</v>
      </c>
      <c r="I5" s="48">
        <v>7</v>
      </c>
      <c r="J5" s="3"/>
      <c r="K5" s="14"/>
    </row>
    <row r="6" spans="1:11" ht="13.5" thickBot="1">
      <c r="A6" s="65" t="s">
        <v>8</v>
      </c>
      <c r="B6" s="62"/>
      <c r="C6" s="63"/>
      <c r="D6" s="37">
        <f aca="true" t="shared" si="0" ref="D6:I6">$E$3*D5</f>
        <v>6051.5</v>
      </c>
      <c r="E6" s="37">
        <f t="shared" si="0"/>
        <v>6916</v>
      </c>
      <c r="F6" s="37">
        <f t="shared" si="0"/>
        <v>7780.5</v>
      </c>
      <c r="G6" s="37">
        <f t="shared" si="0"/>
        <v>8645</v>
      </c>
      <c r="H6" s="37">
        <f t="shared" si="0"/>
        <v>10374</v>
      </c>
      <c r="I6" s="37">
        <f t="shared" si="0"/>
        <v>12103</v>
      </c>
      <c r="J6" s="3"/>
      <c r="K6" s="14"/>
    </row>
    <row r="7" spans="1:15" ht="15.75" thickBot="1">
      <c r="A7" s="58"/>
      <c r="B7" s="59"/>
      <c r="C7" s="59"/>
      <c r="D7" s="23"/>
      <c r="E7" s="23"/>
      <c r="F7" s="23"/>
      <c r="G7" s="23"/>
      <c r="H7" s="23"/>
      <c r="I7" s="23"/>
      <c r="J7" s="3"/>
      <c r="K7" s="14"/>
      <c r="M7" s="210"/>
      <c r="N7" s="210"/>
      <c r="O7" s="210"/>
    </row>
    <row r="8" spans="1:15" ht="25.5" customHeight="1" thickBot="1">
      <c r="A8" s="228" t="s">
        <v>9</v>
      </c>
      <c r="B8" s="229"/>
      <c r="C8" s="230"/>
      <c r="D8" s="24"/>
      <c r="E8" s="24"/>
      <c r="F8" s="24"/>
      <c r="G8" s="24"/>
      <c r="H8" s="24"/>
      <c r="I8" s="24"/>
      <c r="J8" s="3"/>
      <c r="K8" s="14"/>
      <c r="M8" s="187"/>
      <c r="N8" s="187"/>
      <c r="O8" s="187"/>
    </row>
    <row r="9" spans="1:15" ht="15">
      <c r="A9" s="69" t="s">
        <v>10</v>
      </c>
      <c r="B9" s="70"/>
      <c r="C9" s="70"/>
      <c r="D9" s="195">
        <v>1072.253125</v>
      </c>
      <c r="E9" s="195">
        <v>1128.6875</v>
      </c>
      <c r="F9" s="195">
        <v>1185.121875</v>
      </c>
      <c r="G9" s="195">
        <v>1241.55625</v>
      </c>
      <c r="H9" s="195">
        <v>1354.425</v>
      </c>
      <c r="I9" s="195">
        <v>1467.29375</v>
      </c>
      <c r="J9" s="3"/>
      <c r="K9" s="14"/>
      <c r="M9" s="188"/>
      <c r="N9" s="188"/>
      <c r="O9" s="188"/>
    </row>
    <row r="10" spans="1:15" ht="15">
      <c r="A10" s="66" t="s">
        <v>11</v>
      </c>
      <c r="B10" s="71"/>
      <c r="C10" s="71"/>
      <c r="D10" s="196">
        <v>1819.575</v>
      </c>
      <c r="E10" s="196">
        <v>2063.8</v>
      </c>
      <c r="F10" s="196">
        <v>2308.0249999999996</v>
      </c>
      <c r="G10" s="196">
        <v>2552.25</v>
      </c>
      <c r="H10" s="196">
        <v>3040.7</v>
      </c>
      <c r="I10" s="196">
        <v>3529.15</v>
      </c>
      <c r="J10" s="3"/>
      <c r="K10" s="14"/>
      <c r="M10" s="188"/>
      <c r="N10" s="188"/>
      <c r="O10" s="188"/>
    </row>
    <row r="11" spans="1:15" ht="15">
      <c r="A11" s="66" t="s">
        <v>12</v>
      </c>
      <c r="B11" s="71"/>
      <c r="C11" s="71"/>
      <c r="D11" s="196">
        <v>556.5000000000001</v>
      </c>
      <c r="E11" s="196">
        <v>556.5000000000001</v>
      </c>
      <c r="F11" s="196">
        <v>556.5000000000001</v>
      </c>
      <c r="G11" s="196">
        <v>556.5000000000001</v>
      </c>
      <c r="H11" s="196">
        <v>556.5000000000001</v>
      </c>
      <c r="I11" s="196">
        <v>556.5000000000001</v>
      </c>
      <c r="J11" s="3"/>
      <c r="K11" s="14"/>
      <c r="M11" s="188"/>
      <c r="N11" s="188"/>
      <c r="O11" s="188"/>
    </row>
    <row r="12" spans="1:15" ht="15">
      <c r="A12" s="66" t="s">
        <v>13</v>
      </c>
      <c r="B12" s="71"/>
      <c r="C12" s="71"/>
      <c r="D12" s="196">
        <v>905.2433574757449</v>
      </c>
      <c r="E12" s="196">
        <v>916.2893656069673</v>
      </c>
      <c r="F12" s="196">
        <v>927.3353737381894</v>
      </c>
      <c r="G12" s="196">
        <v>938.3813818694117</v>
      </c>
      <c r="H12" s="196">
        <v>954.7695319978113</v>
      </c>
      <c r="I12" s="196">
        <v>971.157682126211</v>
      </c>
      <c r="J12" s="3"/>
      <c r="K12" s="14"/>
      <c r="M12" s="188"/>
      <c r="N12" s="188"/>
      <c r="O12" s="188"/>
    </row>
    <row r="13" spans="1:15" ht="15">
      <c r="A13" s="66" t="s">
        <v>14</v>
      </c>
      <c r="B13" s="71"/>
      <c r="C13" s="71"/>
      <c r="D13" s="196">
        <v>747.4653000000001</v>
      </c>
      <c r="E13" s="196">
        <v>750.5303</v>
      </c>
      <c r="F13" s="196">
        <v>753.5953000000001</v>
      </c>
      <c r="G13" s="196">
        <v>756.6603</v>
      </c>
      <c r="H13" s="196">
        <v>762.7903</v>
      </c>
      <c r="I13" s="196">
        <v>768.9203</v>
      </c>
      <c r="J13" s="3"/>
      <c r="K13" s="14"/>
      <c r="M13" s="188"/>
      <c r="N13" s="188"/>
      <c r="O13" s="188"/>
    </row>
    <row r="14" spans="1:15" ht="15">
      <c r="A14" s="66" t="s">
        <v>15</v>
      </c>
      <c r="B14" s="71"/>
      <c r="C14" s="71"/>
      <c r="D14" s="196">
        <v>794.7500000000001</v>
      </c>
      <c r="E14" s="196">
        <v>794.7500000000001</v>
      </c>
      <c r="F14" s="196">
        <v>794.7500000000001</v>
      </c>
      <c r="G14" s="196">
        <v>794.7500000000001</v>
      </c>
      <c r="H14" s="196">
        <v>794.7500000000001</v>
      </c>
      <c r="I14" s="196">
        <v>794.7500000000001</v>
      </c>
      <c r="J14" s="3"/>
      <c r="K14" s="14"/>
      <c r="M14" s="188"/>
      <c r="N14" s="188"/>
      <c r="O14" s="188"/>
    </row>
    <row r="15" spans="1:11" ht="12.75">
      <c r="A15" s="66" t="s">
        <v>16</v>
      </c>
      <c r="B15" s="71"/>
      <c r="C15" s="71"/>
      <c r="D15" s="196">
        <v>33.00000000000001</v>
      </c>
      <c r="E15" s="196">
        <v>33.00000000000001</v>
      </c>
      <c r="F15" s="196">
        <v>33.00000000000001</v>
      </c>
      <c r="G15" s="196">
        <v>33.00000000000001</v>
      </c>
      <c r="H15" s="196">
        <v>33.00000000000001</v>
      </c>
      <c r="I15" s="196">
        <v>33.00000000000001</v>
      </c>
      <c r="J15" s="3"/>
      <c r="K15" s="14"/>
    </row>
    <row r="16" spans="1:11" ht="12.75">
      <c r="A16" s="66" t="s">
        <v>17</v>
      </c>
      <c r="B16" s="71"/>
      <c r="C16" s="71"/>
      <c r="D16" s="196">
        <v>118.00425000000001</v>
      </c>
      <c r="E16" s="196">
        <v>134.862</v>
      </c>
      <c r="F16" s="196">
        <v>151.71974999999998</v>
      </c>
      <c r="G16" s="196">
        <v>168.57750000000001</v>
      </c>
      <c r="H16" s="196">
        <v>202.293</v>
      </c>
      <c r="I16" s="196">
        <v>236.00850000000003</v>
      </c>
      <c r="J16" s="3"/>
      <c r="K16" s="14"/>
    </row>
    <row r="17" spans="1:11" ht="12.75">
      <c r="A17" s="66" t="s">
        <v>18</v>
      </c>
      <c r="B17" s="71"/>
      <c r="C17" s="71"/>
      <c r="D17" s="196">
        <v>721.2597998815205</v>
      </c>
      <c r="E17" s="196">
        <v>762.7354153391518</v>
      </c>
      <c r="F17" s="196">
        <v>804.211030796783</v>
      </c>
      <c r="G17" s="196">
        <v>845.6866462544143</v>
      </c>
      <c r="H17" s="196">
        <v>927.9780892999204</v>
      </c>
      <c r="I17" s="196">
        <v>1010.2695323454263</v>
      </c>
      <c r="J17" s="3"/>
      <c r="K17" s="14"/>
    </row>
    <row r="18" spans="1:11" ht="12.75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3"/>
      <c r="K18" s="14"/>
    </row>
    <row r="19" spans="1:11" ht="12.75">
      <c r="A19" s="66" t="s">
        <v>20</v>
      </c>
      <c r="B19" s="71"/>
      <c r="C19" s="71"/>
      <c r="D19" s="196">
        <v>188.49993750000002</v>
      </c>
      <c r="E19" s="196">
        <v>215.42850000000004</v>
      </c>
      <c r="F19" s="196">
        <v>242.35706250000004</v>
      </c>
      <c r="G19" s="196">
        <v>269.28562500000004</v>
      </c>
      <c r="H19" s="196">
        <v>323.1427500000001</v>
      </c>
      <c r="I19" s="196">
        <v>376.99987500000003</v>
      </c>
      <c r="J19" s="3"/>
      <c r="K19" s="14"/>
    </row>
    <row r="20" spans="1:11" ht="12.75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3"/>
      <c r="K20" s="14"/>
    </row>
    <row r="21" spans="1:11" ht="12.75">
      <c r="A21" s="66" t="s">
        <v>22</v>
      </c>
      <c r="B21" s="71"/>
      <c r="C21" s="71"/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3"/>
      <c r="K21" s="14"/>
    </row>
    <row r="22" spans="1:11" ht="12.75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3"/>
      <c r="K22" s="14"/>
    </row>
    <row r="23" spans="1:11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3"/>
      <c r="K23" s="14"/>
    </row>
    <row r="24" spans="1:11" ht="13.5" thickBot="1">
      <c r="A24" s="66" t="s">
        <v>25</v>
      </c>
      <c r="B24" s="71"/>
      <c r="C24" s="71"/>
      <c r="D24" s="196">
        <v>365.2189154175064</v>
      </c>
      <c r="E24" s="196">
        <v>386.22061174967126</v>
      </c>
      <c r="F24" s="196">
        <v>407.22230808183605</v>
      </c>
      <c r="G24" s="196">
        <v>428.22400441400094</v>
      </c>
      <c r="H24" s="196">
        <v>469.8933052431309</v>
      </c>
      <c r="I24" s="196">
        <v>511.56260607226096</v>
      </c>
      <c r="J24" s="3"/>
      <c r="K24" s="14"/>
    </row>
    <row r="25" spans="1:11" ht="25.5" customHeight="1" thickBot="1">
      <c r="A25" s="207" t="s">
        <v>26</v>
      </c>
      <c r="B25" s="208"/>
      <c r="C25" s="209"/>
      <c r="D25" s="33">
        <f aca="true" t="shared" si="1" ref="D25:I25">SUM(D9:D24)</f>
        <v>7321.769685274772</v>
      </c>
      <c r="E25" s="33">
        <f t="shared" si="1"/>
        <v>7742.803692695791</v>
      </c>
      <c r="F25" s="33">
        <f t="shared" si="1"/>
        <v>8163.837700116808</v>
      </c>
      <c r="G25" s="33">
        <f t="shared" si="1"/>
        <v>8584.871707537828</v>
      </c>
      <c r="H25" s="33">
        <f t="shared" si="1"/>
        <v>9420.241976540863</v>
      </c>
      <c r="I25" s="33">
        <f t="shared" si="1"/>
        <v>10255.612245543898</v>
      </c>
      <c r="J25" s="3"/>
      <c r="K25" s="14"/>
    </row>
    <row r="26" spans="1:11" ht="13.5" thickBot="1">
      <c r="A26" s="72"/>
      <c r="B26" s="73"/>
      <c r="C26" s="73"/>
      <c r="D26" s="34"/>
      <c r="E26" s="34"/>
      <c r="F26" s="34"/>
      <c r="G26" s="34"/>
      <c r="H26" s="34"/>
      <c r="I26" s="34"/>
      <c r="J26" s="3"/>
      <c r="K26" s="14"/>
    </row>
    <row r="27" spans="1:11" ht="13.5" thickBot="1">
      <c r="A27" s="231" t="s">
        <v>27</v>
      </c>
      <c r="B27" s="232"/>
      <c r="C27" s="233"/>
      <c r="D27" s="197">
        <v>2490.3768751247926</v>
      </c>
      <c r="E27" s="197">
        <v>2490.3768751247926</v>
      </c>
      <c r="F27" s="197">
        <v>2490.3768751247926</v>
      </c>
      <c r="G27" s="197">
        <v>2490.3768751247926</v>
      </c>
      <c r="H27" s="197">
        <v>2490.3768751247926</v>
      </c>
      <c r="I27" s="197">
        <v>2490.3768751247926</v>
      </c>
      <c r="J27" s="27"/>
      <c r="K27" s="14"/>
    </row>
    <row r="28" spans="1:11" ht="13.5" thickBot="1">
      <c r="A28" s="72"/>
      <c r="B28" s="73"/>
      <c r="C28" s="73"/>
      <c r="D28" s="34"/>
      <c r="E28" s="34"/>
      <c r="F28" s="34"/>
      <c r="G28" s="34"/>
      <c r="H28" s="34"/>
      <c r="I28" s="34"/>
      <c r="J28" s="3"/>
      <c r="K28" s="14"/>
    </row>
    <row r="29" spans="1:11" ht="27.75" customHeight="1" thickBot="1">
      <c r="A29" s="207" t="s">
        <v>28</v>
      </c>
      <c r="B29" s="208"/>
      <c r="C29" s="209"/>
      <c r="D29" s="33">
        <f aca="true" t="shared" si="2" ref="D29:I29">D25+D27</f>
        <v>9812.146560399564</v>
      </c>
      <c r="E29" s="33">
        <f t="shared" si="2"/>
        <v>10233.180567820584</v>
      </c>
      <c r="F29" s="33">
        <f t="shared" si="2"/>
        <v>10654.2145752416</v>
      </c>
      <c r="G29" s="33">
        <f t="shared" si="2"/>
        <v>11075.248582662622</v>
      </c>
      <c r="H29" s="33">
        <f t="shared" si="2"/>
        <v>11910.618851665655</v>
      </c>
      <c r="I29" s="33">
        <f t="shared" si="2"/>
        <v>12745.989120668692</v>
      </c>
      <c r="J29" s="3"/>
      <c r="K29" s="3"/>
    </row>
    <row r="30" spans="1:11" ht="13.5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3"/>
    </row>
    <row r="31" spans="1:11" ht="25.5" customHeight="1" thickBot="1">
      <c r="A31" s="207" t="s">
        <v>29</v>
      </c>
      <c r="B31" s="223"/>
      <c r="C31" s="224"/>
      <c r="D31" s="33">
        <f aca="true" t="shared" si="3" ref="D31:I31">D29/D5</f>
        <v>2803.470445828447</v>
      </c>
      <c r="E31" s="33">
        <f t="shared" si="3"/>
        <v>2558.295141955146</v>
      </c>
      <c r="F31" s="33">
        <f t="shared" si="3"/>
        <v>2367.6032389425777</v>
      </c>
      <c r="G31" s="33">
        <f t="shared" si="3"/>
        <v>2215.049716532524</v>
      </c>
      <c r="H31" s="33">
        <f t="shared" si="3"/>
        <v>1985.1031419442759</v>
      </c>
      <c r="I31" s="33">
        <f t="shared" si="3"/>
        <v>1820.855588666956</v>
      </c>
      <c r="J31" s="3"/>
      <c r="K31" s="3"/>
    </row>
    <row r="32" spans="1:11" ht="13.5" thickBot="1">
      <c r="A32" s="58"/>
      <c r="B32" s="59"/>
      <c r="C32" s="59"/>
      <c r="D32" s="36"/>
      <c r="E32" s="36"/>
      <c r="F32" s="36"/>
      <c r="G32" s="36"/>
      <c r="H32" s="36"/>
      <c r="I32" s="36"/>
      <c r="J32" s="3"/>
      <c r="K32" s="14"/>
    </row>
    <row r="33" spans="1:11" ht="13.5" thickBot="1">
      <c r="A33" s="61" t="s">
        <v>30</v>
      </c>
      <c r="B33" s="62"/>
      <c r="C33" s="62"/>
      <c r="D33" s="33">
        <f>'Pryse + Sensatiwiteitsanali'!D4</f>
        <v>271</v>
      </c>
      <c r="E33" s="33">
        <f>$D$33</f>
        <v>271</v>
      </c>
      <c r="F33" s="33">
        <f>$D$33</f>
        <v>271</v>
      </c>
      <c r="G33" s="33">
        <f>$D$33</f>
        <v>271</v>
      </c>
      <c r="H33" s="33">
        <f>$D$33</f>
        <v>271</v>
      </c>
      <c r="I33" s="33">
        <f>$D$33</f>
        <v>271</v>
      </c>
      <c r="J33" s="3"/>
      <c r="K33" s="14"/>
    </row>
    <row r="34" spans="1:11" ht="13.5" thickBot="1">
      <c r="A34" s="58"/>
      <c r="B34" s="59"/>
      <c r="C34" s="59"/>
      <c r="D34" s="36"/>
      <c r="E34" s="36"/>
      <c r="F34" s="36"/>
      <c r="G34" s="36"/>
      <c r="H34" s="36"/>
      <c r="I34" s="36"/>
      <c r="J34" s="3"/>
      <c r="K34" s="14"/>
    </row>
    <row r="35" spans="1:11" ht="26.25" customHeight="1" thickBot="1">
      <c r="A35" s="225" t="s">
        <v>31</v>
      </c>
      <c r="B35" s="226"/>
      <c r="C35" s="227"/>
      <c r="D35" s="35">
        <f aca="true" t="shared" si="4" ref="D35:I35">D31+D33</f>
        <v>3074.470445828447</v>
      </c>
      <c r="E35" s="35">
        <f t="shared" si="4"/>
        <v>2829.295141955146</v>
      </c>
      <c r="F35" s="35">
        <f t="shared" si="4"/>
        <v>2638.6032389425777</v>
      </c>
      <c r="G35" s="35">
        <f t="shared" si="4"/>
        <v>2486.049716532524</v>
      </c>
      <c r="H35" s="35">
        <f t="shared" si="4"/>
        <v>2256.103141944276</v>
      </c>
      <c r="I35" s="35">
        <f t="shared" si="4"/>
        <v>2091.855588666956</v>
      </c>
      <c r="J35" s="3"/>
      <c r="K35" s="14"/>
    </row>
    <row r="36" spans="1:11" ht="13.5" thickBot="1">
      <c r="A36" s="56" t="s">
        <v>32</v>
      </c>
      <c r="B36" s="57"/>
      <c r="C36" s="5"/>
      <c r="D36" s="35">
        <f>'Pryse + Sensatiwiteitsanali'!B4</f>
        <v>2000</v>
      </c>
      <c r="E36" s="35">
        <f>$D$36</f>
        <v>2000</v>
      </c>
      <c r="F36" s="35">
        <f>$D$36</f>
        <v>2000</v>
      </c>
      <c r="G36" s="35">
        <f>$D$36</f>
        <v>2000</v>
      </c>
      <c r="H36" s="35">
        <f>$D$36</f>
        <v>2000</v>
      </c>
      <c r="I36" s="35">
        <f>$D$36</f>
        <v>2000</v>
      </c>
      <c r="J36" s="14"/>
      <c r="K36" s="3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  <row r="40" spans="1:8" ht="12.75">
      <c r="A40" s="211" t="s">
        <v>40</v>
      </c>
      <c r="B40" s="212"/>
      <c r="C40" s="212"/>
      <c r="D40" s="212"/>
      <c r="E40" s="212"/>
      <c r="F40" s="212"/>
      <c r="G40" s="212"/>
      <c r="H40" s="213"/>
    </row>
    <row r="41" spans="1:8" ht="12.75">
      <c r="A41" s="214"/>
      <c r="B41" s="215"/>
      <c r="C41" s="215"/>
      <c r="D41" s="215"/>
      <c r="E41" s="215"/>
      <c r="F41" s="215"/>
      <c r="G41" s="215"/>
      <c r="H41" s="216"/>
    </row>
    <row r="42" spans="1:8" ht="12.75">
      <c r="A42" s="214"/>
      <c r="B42" s="215"/>
      <c r="C42" s="215"/>
      <c r="D42" s="215"/>
      <c r="E42" s="215"/>
      <c r="F42" s="215"/>
      <c r="G42" s="215"/>
      <c r="H42" s="216"/>
    </row>
    <row r="43" spans="1:8" ht="13.5" thickBot="1">
      <c r="A43" s="217"/>
      <c r="B43" s="218"/>
      <c r="C43" s="218"/>
      <c r="D43" s="218"/>
      <c r="E43" s="218"/>
      <c r="F43" s="218"/>
      <c r="G43" s="218"/>
      <c r="H43" s="219"/>
    </row>
  </sheetData>
  <sheetProtection/>
  <mergeCells count="11">
    <mergeCell ref="A27:C27"/>
    <mergeCell ref="A29:C29"/>
    <mergeCell ref="M7:O7"/>
    <mergeCell ref="A40:H43"/>
    <mergeCell ref="A1:D1"/>
    <mergeCell ref="E1:G1"/>
    <mergeCell ref="A31:C31"/>
    <mergeCell ref="A35:C35"/>
    <mergeCell ref="A3:C3"/>
    <mergeCell ref="A8:C8"/>
    <mergeCell ref="A25:C2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headerFooter>
    <oddHeader>&amp;C&amp;F</oddHeader>
    <oddFooter>&amp;C&amp;A&amp;RPage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2.75"/>
  <cols>
    <col min="1" max="1" width="41.7109375" style="1" customWidth="1"/>
    <col min="2" max="2" width="18.00390625" style="1" customWidth="1"/>
    <col min="3" max="3" width="17.28125" style="1" customWidth="1"/>
    <col min="4" max="4" width="16.140625" style="1" customWidth="1"/>
    <col min="5" max="9" width="14.28125" style="1" customWidth="1"/>
    <col min="10" max="10" width="14.421875" style="1" customWidth="1"/>
    <col min="11" max="12" width="12.7109375" style="1" customWidth="1"/>
    <col min="13" max="15" width="12.7109375" style="1" hidden="1" customWidth="1"/>
    <col min="16" max="26" width="12.7109375" style="1" customWidth="1"/>
    <col min="27" max="16384" width="9.140625" style="1" customWidth="1"/>
  </cols>
  <sheetData>
    <row r="1" spans="1:10" s="3" customFormat="1" ht="50.25" customHeight="1" thickBot="1">
      <c r="A1" s="222" t="s">
        <v>3</v>
      </c>
      <c r="B1" s="222"/>
      <c r="C1" s="222"/>
      <c r="D1" s="190"/>
      <c r="E1" s="222" t="s">
        <v>119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11" ht="29.25" customHeight="1" thickBot="1">
      <c r="A3" s="225" t="s">
        <v>6</v>
      </c>
      <c r="B3" s="226"/>
      <c r="C3" s="226"/>
      <c r="D3" s="30"/>
      <c r="E3" s="40">
        <f>'Pryse + Sensatiwiteitsanali'!B25</f>
        <v>1729</v>
      </c>
      <c r="F3" s="30" t="s">
        <v>0</v>
      </c>
      <c r="G3" s="19"/>
      <c r="H3" s="19"/>
      <c r="I3" s="5"/>
      <c r="K3" s="3"/>
    </row>
    <row r="4" spans="1:11" ht="13.5" thickBot="1">
      <c r="A4" s="60"/>
      <c r="B4" s="7"/>
      <c r="C4" s="7"/>
      <c r="D4" s="44"/>
      <c r="E4" s="38"/>
      <c r="F4" s="45"/>
      <c r="G4" s="46"/>
      <c r="H4" s="47"/>
      <c r="I4" s="47"/>
      <c r="J4" s="3"/>
      <c r="K4" s="14"/>
    </row>
    <row r="5" spans="1:11" ht="13.5" thickBot="1">
      <c r="A5" s="64" t="s">
        <v>7</v>
      </c>
      <c r="B5" s="7"/>
      <c r="C5" s="7"/>
      <c r="D5" s="48">
        <v>3.5</v>
      </c>
      <c r="E5" s="48">
        <v>4</v>
      </c>
      <c r="F5" s="48">
        <v>4.5</v>
      </c>
      <c r="G5" s="48">
        <v>5</v>
      </c>
      <c r="H5" s="48">
        <v>6</v>
      </c>
      <c r="I5" s="48">
        <v>7</v>
      </c>
      <c r="J5" s="3"/>
      <c r="K5" s="14"/>
    </row>
    <row r="6" spans="1:11" ht="13.5" thickBot="1">
      <c r="A6" s="65" t="s">
        <v>8</v>
      </c>
      <c r="B6" s="62"/>
      <c r="C6" s="63"/>
      <c r="D6" s="37">
        <f aca="true" t="shared" si="0" ref="D6:I6">$E$3*D5</f>
        <v>6051.5</v>
      </c>
      <c r="E6" s="37">
        <f t="shared" si="0"/>
        <v>6916</v>
      </c>
      <c r="F6" s="37">
        <f t="shared" si="0"/>
        <v>7780.5</v>
      </c>
      <c r="G6" s="37">
        <f t="shared" si="0"/>
        <v>8645</v>
      </c>
      <c r="H6" s="37">
        <f t="shared" si="0"/>
        <v>10374</v>
      </c>
      <c r="I6" s="37">
        <f t="shared" si="0"/>
        <v>12103</v>
      </c>
      <c r="J6" s="3"/>
      <c r="K6" s="14"/>
    </row>
    <row r="7" spans="1:15" ht="15.75" thickBot="1">
      <c r="A7" s="58"/>
      <c r="B7" s="59"/>
      <c r="C7" s="59"/>
      <c r="D7" s="23"/>
      <c r="E7" s="23"/>
      <c r="F7" s="23"/>
      <c r="G7" s="23"/>
      <c r="H7" s="23"/>
      <c r="I7" s="23"/>
      <c r="J7" s="3"/>
      <c r="K7" s="14"/>
      <c r="M7" s="210" t="s">
        <v>101</v>
      </c>
      <c r="N7" s="210"/>
      <c r="O7" s="210"/>
    </row>
    <row r="8" spans="1:15" ht="26.25" customHeight="1" thickBot="1">
      <c r="A8" s="228" t="s">
        <v>9</v>
      </c>
      <c r="B8" s="229"/>
      <c r="C8" s="230"/>
      <c r="D8" s="24"/>
      <c r="E8" s="24"/>
      <c r="F8" s="24"/>
      <c r="G8" s="24"/>
      <c r="H8" s="24"/>
      <c r="I8" s="24"/>
      <c r="J8" s="3"/>
      <c r="K8" s="14"/>
      <c r="M8" s="187" t="s">
        <v>95</v>
      </c>
      <c r="N8" s="187" t="s">
        <v>96</v>
      </c>
      <c r="O8" s="187" t="s">
        <v>97</v>
      </c>
    </row>
    <row r="9" spans="1:15" ht="12" customHeight="1">
      <c r="A9" s="69" t="s">
        <v>10</v>
      </c>
      <c r="B9" s="70"/>
      <c r="C9" s="70"/>
      <c r="D9" s="195">
        <v>1038.73875</v>
      </c>
      <c r="E9" s="195">
        <v>1088.2024999999999</v>
      </c>
      <c r="F9" s="195">
        <v>1137.6662499999998</v>
      </c>
      <c r="G9" s="195">
        <v>1187.1299999999999</v>
      </c>
      <c r="H9" s="195">
        <v>1187.1299999999999</v>
      </c>
      <c r="I9" s="195">
        <v>1187.1299999999999</v>
      </c>
      <c r="J9" s="3"/>
      <c r="K9" s="14"/>
      <c r="M9" s="188">
        <f>D5</f>
        <v>3.5</v>
      </c>
      <c r="N9" s="188">
        <f>D25</f>
        <v>6082.239871888639</v>
      </c>
      <c r="O9" s="188">
        <f>D27</f>
        <v>1387.329231766467</v>
      </c>
    </row>
    <row r="10" spans="1:15" ht="12" customHeight="1">
      <c r="A10" s="66" t="s">
        <v>11</v>
      </c>
      <c r="B10" s="71"/>
      <c r="C10" s="71"/>
      <c r="D10" s="196">
        <v>1819.575</v>
      </c>
      <c r="E10" s="196">
        <v>2063.8</v>
      </c>
      <c r="F10" s="196">
        <v>2308.0249999999996</v>
      </c>
      <c r="G10" s="196">
        <v>2552.25</v>
      </c>
      <c r="H10" s="196">
        <v>3040.7</v>
      </c>
      <c r="I10" s="196">
        <v>3529.15</v>
      </c>
      <c r="J10" s="3"/>
      <c r="K10" s="14"/>
      <c r="M10" s="188">
        <f>E5</f>
        <v>4</v>
      </c>
      <c r="N10" s="188">
        <f>E25</f>
        <v>6495.08864608507</v>
      </c>
      <c r="O10" s="188">
        <f>E27</f>
        <v>1387.329231766467</v>
      </c>
    </row>
    <row r="11" spans="1:15" ht="12" customHeight="1">
      <c r="A11" s="66" t="s">
        <v>12</v>
      </c>
      <c r="B11" s="71"/>
      <c r="C11" s="71"/>
      <c r="D11" s="196">
        <v>185.50000000000003</v>
      </c>
      <c r="E11" s="196">
        <v>185.50000000000003</v>
      </c>
      <c r="F11" s="196">
        <v>185.50000000000003</v>
      </c>
      <c r="G11" s="196">
        <v>185.50000000000003</v>
      </c>
      <c r="H11" s="196">
        <v>185.50000000000003</v>
      </c>
      <c r="I11" s="196">
        <v>185.50000000000003</v>
      </c>
      <c r="J11" s="3"/>
      <c r="K11" s="14"/>
      <c r="M11" s="188">
        <f>F5</f>
        <v>4.5</v>
      </c>
      <c r="N11" s="188">
        <f>F25</f>
        <v>6907.9374202815</v>
      </c>
      <c r="O11" s="188">
        <f>F27</f>
        <v>1387.329231766467</v>
      </c>
    </row>
    <row r="12" spans="1:15" ht="12" customHeight="1">
      <c r="A12" s="66" t="s">
        <v>13</v>
      </c>
      <c r="B12" s="71"/>
      <c r="C12" s="71"/>
      <c r="D12" s="196">
        <v>344.17852016077296</v>
      </c>
      <c r="E12" s="196">
        <v>355.2245282919952</v>
      </c>
      <c r="F12" s="196">
        <v>366.27053642321744</v>
      </c>
      <c r="G12" s="196">
        <v>377.3165445544397</v>
      </c>
      <c r="H12" s="196">
        <v>393.7046946828393</v>
      </c>
      <c r="I12" s="196">
        <v>410.0928448112389</v>
      </c>
      <c r="J12" s="3"/>
      <c r="K12" s="14"/>
      <c r="M12" s="188">
        <f>G5</f>
        <v>5</v>
      </c>
      <c r="N12" s="188">
        <f>G25</f>
        <v>7320.7861944779315</v>
      </c>
      <c r="O12" s="188">
        <f>G27</f>
        <v>1387.329231766467</v>
      </c>
    </row>
    <row r="13" spans="1:15" ht="12" customHeight="1">
      <c r="A13" s="66" t="s">
        <v>14</v>
      </c>
      <c r="B13" s="71"/>
      <c r="C13" s="71"/>
      <c r="D13" s="196">
        <v>313.905</v>
      </c>
      <c r="E13" s="196">
        <v>316.97</v>
      </c>
      <c r="F13" s="196">
        <v>320.03499999999997</v>
      </c>
      <c r="G13" s="196">
        <v>323.1</v>
      </c>
      <c r="H13" s="196">
        <v>329.23</v>
      </c>
      <c r="I13" s="196">
        <v>335.36</v>
      </c>
      <c r="J13" s="3"/>
      <c r="K13" s="14"/>
      <c r="M13" s="188">
        <f>H5</f>
        <v>6</v>
      </c>
      <c r="N13" s="188">
        <f>H25</f>
        <v>8023.620709152235</v>
      </c>
      <c r="O13" s="188">
        <f>H27</f>
        <v>1387.329231766467</v>
      </c>
    </row>
    <row r="14" spans="1:15" ht="12" customHeight="1">
      <c r="A14" s="66" t="s">
        <v>15</v>
      </c>
      <c r="B14" s="71"/>
      <c r="C14" s="71"/>
      <c r="D14" s="196">
        <v>1171.29375</v>
      </c>
      <c r="E14" s="196">
        <v>1171.29375</v>
      </c>
      <c r="F14" s="196">
        <v>1171.29375</v>
      </c>
      <c r="G14" s="196">
        <v>1171.29375</v>
      </c>
      <c r="H14" s="196">
        <v>1171.29375</v>
      </c>
      <c r="I14" s="196">
        <v>1171.29375</v>
      </c>
      <c r="J14" s="3"/>
      <c r="K14" s="14"/>
      <c r="M14" s="188">
        <f>I5</f>
        <v>7</v>
      </c>
      <c r="N14" s="188">
        <f>I25</f>
        <v>8726.45522382654</v>
      </c>
      <c r="O14" s="188">
        <f>I27</f>
        <v>1387.329231766467</v>
      </c>
    </row>
    <row r="15" spans="1:11" ht="12.75">
      <c r="A15" s="66" t="s">
        <v>16</v>
      </c>
      <c r="B15" s="71"/>
      <c r="C15" s="71"/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3"/>
      <c r="K15" s="14"/>
    </row>
    <row r="16" spans="1:11" ht="12.75">
      <c r="A16" s="66" t="s">
        <v>17</v>
      </c>
      <c r="B16" s="71"/>
      <c r="C16" s="71"/>
      <c r="D16" s="196">
        <v>118.00425000000001</v>
      </c>
      <c r="E16" s="196">
        <v>134.862</v>
      </c>
      <c r="F16" s="196">
        <v>151.71974999999998</v>
      </c>
      <c r="G16" s="196">
        <v>168.57750000000001</v>
      </c>
      <c r="H16" s="196">
        <v>202.293</v>
      </c>
      <c r="I16" s="196">
        <v>236.00850000000003</v>
      </c>
      <c r="J16" s="3"/>
      <c r="K16" s="14"/>
    </row>
    <row r="17" spans="1:11" ht="12.75">
      <c r="A17" s="66" t="s">
        <v>18</v>
      </c>
      <c r="B17" s="71"/>
      <c r="C17" s="71"/>
      <c r="D17" s="196">
        <v>599.1550269127557</v>
      </c>
      <c r="E17" s="196">
        <v>639.8243236890683</v>
      </c>
      <c r="F17" s="196">
        <v>680.4936204653809</v>
      </c>
      <c r="G17" s="196">
        <v>721.1629172416935</v>
      </c>
      <c r="H17" s="196">
        <v>790.3984030865054</v>
      </c>
      <c r="I17" s="196">
        <v>859.6338889313175</v>
      </c>
      <c r="J17" s="3"/>
      <c r="K17" s="14"/>
    </row>
    <row r="18" spans="1:11" ht="12.75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3"/>
      <c r="K18" s="14"/>
    </row>
    <row r="19" spans="1:11" ht="12.75">
      <c r="A19" s="66" t="s">
        <v>20</v>
      </c>
      <c r="B19" s="71"/>
      <c r="C19" s="71"/>
      <c r="D19" s="196">
        <v>188.49993750000002</v>
      </c>
      <c r="E19" s="196">
        <v>215.42850000000004</v>
      </c>
      <c r="F19" s="196">
        <v>242.35706250000004</v>
      </c>
      <c r="G19" s="196">
        <v>269.28562500000004</v>
      </c>
      <c r="H19" s="196">
        <v>323.1427500000001</v>
      </c>
      <c r="I19" s="196">
        <v>376.99987500000003</v>
      </c>
      <c r="J19" s="3"/>
      <c r="K19" s="14"/>
    </row>
    <row r="20" spans="1:11" ht="12.75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3"/>
      <c r="K20" s="14"/>
    </row>
    <row r="21" spans="1:11" ht="12.75">
      <c r="A21" s="66" t="s">
        <v>22</v>
      </c>
      <c r="B21" s="71"/>
      <c r="C21" s="71"/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3"/>
      <c r="K21" s="14"/>
    </row>
    <row r="22" spans="1:11" ht="12.75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3"/>
      <c r="K22" s="14"/>
    </row>
    <row r="23" spans="1:11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3"/>
      <c r="K23" s="14"/>
    </row>
    <row r="24" spans="1:11" ht="13.5" thickBot="1">
      <c r="A24" s="66" t="s">
        <v>25</v>
      </c>
      <c r="B24" s="71"/>
      <c r="C24" s="71"/>
      <c r="D24" s="196">
        <v>303.38963731511024</v>
      </c>
      <c r="E24" s="196">
        <v>323.98304410400584</v>
      </c>
      <c r="F24" s="196">
        <v>344.5764508929014</v>
      </c>
      <c r="G24" s="196">
        <v>365.16985768179705</v>
      </c>
      <c r="H24" s="196">
        <v>400.2281113828906</v>
      </c>
      <c r="I24" s="196">
        <v>435.2863650839842</v>
      </c>
      <c r="J24" s="3"/>
      <c r="K24" s="14"/>
    </row>
    <row r="25" spans="1:11" ht="26.25" customHeight="1" thickBot="1">
      <c r="A25" s="207" t="s">
        <v>26</v>
      </c>
      <c r="B25" s="208"/>
      <c r="C25" s="209"/>
      <c r="D25" s="33">
        <f aca="true" t="shared" si="1" ref="D25:I25">SUM(D9:D24)</f>
        <v>6082.239871888639</v>
      </c>
      <c r="E25" s="33">
        <f t="shared" si="1"/>
        <v>6495.08864608507</v>
      </c>
      <c r="F25" s="33">
        <f t="shared" si="1"/>
        <v>6907.9374202815</v>
      </c>
      <c r="G25" s="33">
        <f t="shared" si="1"/>
        <v>7320.7861944779315</v>
      </c>
      <c r="H25" s="33">
        <f t="shared" si="1"/>
        <v>8023.620709152235</v>
      </c>
      <c r="I25" s="33">
        <f t="shared" si="1"/>
        <v>8726.45522382654</v>
      </c>
      <c r="J25" s="3"/>
      <c r="K25" s="14"/>
    </row>
    <row r="26" spans="1:11" ht="13.5" thickBot="1">
      <c r="A26" s="72"/>
      <c r="B26" s="73"/>
      <c r="C26" s="73"/>
      <c r="D26" s="34"/>
      <c r="E26" s="34"/>
      <c r="F26" s="34"/>
      <c r="G26" s="34"/>
      <c r="H26" s="34"/>
      <c r="I26" s="34"/>
      <c r="J26" s="3"/>
      <c r="K26" s="14"/>
    </row>
    <row r="27" spans="1:11" ht="13.5" thickBot="1">
      <c r="A27" s="231" t="s">
        <v>27</v>
      </c>
      <c r="B27" s="232"/>
      <c r="C27" s="233"/>
      <c r="D27" s="197">
        <v>1387.329231766467</v>
      </c>
      <c r="E27" s="197">
        <v>1387.329231766467</v>
      </c>
      <c r="F27" s="197">
        <v>1387.329231766467</v>
      </c>
      <c r="G27" s="197">
        <v>1387.329231766467</v>
      </c>
      <c r="H27" s="197">
        <v>1387.329231766467</v>
      </c>
      <c r="I27" s="197">
        <v>1387.329231766467</v>
      </c>
      <c r="J27" s="27"/>
      <c r="K27" s="14"/>
    </row>
    <row r="28" spans="1:11" ht="13.5" thickBot="1">
      <c r="A28" s="72"/>
      <c r="B28" s="73"/>
      <c r="C28" s="73"/>
      <c r="D28" s="34"/>
      <c r="E28" s="34"/>
      <c r="F28" s="34"/>
      <c r="G28" s="34"/>
      <c r="H28" s="34"/>
      <c r="I28" s="34"/>
      <c r="J28" s="3"/>
      <c r="K28" s="14"/>
    </row>
    <row r="29" spans="1:11" ht="26.25" customHeight="1" thickBot="1">
      <c r="A29" s="207" t="s">
        <v>28</v>
      </c>
      <c r="B29" s="208"/>
      <c r="C29" s="209"/>
      <c r="D29" s="33">
        <f aca="true" t="shared" si="2" ref="D29:I29">D25+D27</f>
        <v>7469.569103655106</v>
      </c>
      <c r="E29" s="33">
        <f t="shared" si="2"/>
        <v>7882.417877851537</v>
      </c>
      <c r="F29" s="33">
        <f t="shared" si="2"/>
        <v>8295.266652047967</v>
      </c>
      <c r="G29" s="33">
        <f t="shared" si="2"/>
        <v>8708.115426244398</v>
      </c>
      <c r="H29" s="33">
        <f t="shared" si="2"/>
        <v>9410.949940918701</v>
      </c>
      <c r="I29" s="33">
        <f t="shared" si="2"/>
        <v>10113.784455593008</v>
      </c>
      <c r="J29" s="3"/>
      <c r="K29" s="3"/>
    </row>
    <row r="30" spans="1:11" ht="13.5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3"/>
    </row>
    <row r="31" spans="1:11" ht="26.25" customHeight="1" thickBot="1">
      <c r="A31" s="207" t="s">
        <v>29</v>
      </c>
      <c r="B31" s="223"/>
      <c r="C31" s="224"/>
      <c r="D31" s="33">
        <f aca="true" t="shared" si="3" ref="D31:I31">D29/D5</f>
        <v>2134.162601044316</v>
      </c>
      <c r="E31" s="33">
        <f t="shared" si="3"/>
        <v>1970.6044694628843</v>
      </c>
      <c r="F31" s="33">
        <f t="shared" si="3"/>
        <v>1843.3925893439928</v>
      </c>
      <c r="G31" s="33">
        <f t="shared" si="3"/>
        <v>1741.6230852488795</v>
      </c>
      <c r="H31" s="33">
        <f t="shared" si="3"/>
        <v>1568.4916568197834</v>
      </c>
      <c r="I31" s="33">
        <f t="shared" si="3"/>
        <v>1444.8263507990011</v>
      </c>
      <c r="J31" s="3"/>
      <c r="K31" s="3"/>
    </row>
    <row r="32" spans="1:11" ht="13.5" thickBot="1">
      <c r="A32" s="58"/>
      <c r="B32" s="59"/>
      <c r="C32" s="59"/>
      <c r="D32" s="36"/>
      <c r="E32" s="36"/>
      <c r="F32" s="36"/>
      <c r="G32" s="36"/>
      <c r="H32" s="36"/>
      <c r="I32" s="36"/>
      <c r="J32" s="3"/>
      <c r="K32" s="14"/>
    </row>
    <row r="33" spans="1:11" ht="13.5" thickBot="1">
      <c r="A33" s="61" t="s">
        <v>30</v>
      </c>
      <c r="B33" s="62"/>
      <c r="C33" s="62"/>
      <c r="D33" s="33">
        <f>'Pryse + Sensatiwiteitsanali'!D4</f>
        <v>271</v>
      </c>
      <c r="E33" s="33">
        <f>$D$33</f>
        <v>271</v>
      </c>
      <c r="F33" s="33">
        <f>$D$33</f>
        <v>271</v>
      </c>
      <c r="G33" s="33">
        <f>$D$33</f>
        <v>271</v>
      </c>
      <c r="H33" s="33">
        <f>$D$33</f>
        <v>271</v>
      </c>
      <c r="I33" s="33">
        <f>$D$33</f>
        <v>271</v>
      </c>
      <c r="J33" s="3"/>
      <c r="K33" s="14"/>
    </row>
    <row r="34" spans="1:11" ht="13.5" thickBot="1">
      <c r="A34" s="58"/>
      <c r="B34" s="59"/>
      <c r="C34" s="59"/>
      <c r="D34" s="36"/>
      <c r="E34" s="36"/>
      <c r="F34" s="36"/>
      <c r="G34" s="36"/>
      <c r="H34" s="36"/>
      <c r="I34" s="36"/>
      <c r="J34" s="3"/>
      <c r="K34" s="14"/>
    </row>
    <row r="35" spans="1:11" ht="27.75" customHeight="1" thickBot="1">
      <c r="A35" s="225" t="s">
        <v>31</v>
      </c>
      <c r="B35" s="226"/>
      <c r="C35" s="227"/>
      <c r="D35" s="35">
        <f aca="true" t="shared" si="4" ref="D35:I35">D31+D33</f>
        <v>2405.162601044316</v>
      </c>
      <c r="E35" s="35">
        <f t="shared" si="4"/>
        <v>2241.6044694628845</v>
      </c>
      <c r="F35" s="35">
        <f t="shared" si="4"/>
        <v>2114.3925893439928</v>
      </c>
      <c r="G35" s="35">
        <f t="shared" si="4"/>
        <v>2012.6230852488795</v>
      </c>
      <c r="H35" s="35">
        <f t="shared" si="4"/>
        <v>1839.4916568197834</v>
      </c>
      <c r="I35" s="35">
        <f t="shared" si="4"/>
        <v>1715.8263507990011</v>
      </c>
      <c r="J35" s="3"/>
      <c r="K35" s="14"/>
    </row>
    <row r="36" spans="1:11" ht="13.5" thickBot="1">
      <c r="A36" s="56" t="s">
        <v>32</v>
      </c>
      <c r="B36" s="57"/>
      <c r="C36" s="5"/>
      <c r="D36" s="35">
        <f>'Pryse + Sensatiwiteitsanali'!B4</f>
        <v>2000</v>
      </c>
      <c r="E36" s="35">
        <f>$D$36</f>
        <v>2000</v>
      </c>
      <c r="F36" s="35">
        <f>$D$36</f>
        <v>2000</v>
      </c>
      <c r="G36" s="35">
        <f>$D$36</f>
        <v>2000</v>
      </c>
      <c r="H36" s="35">
        <f>$D$36</f>
        <v>2000</v>
      </c>
      <c r="I36" s="35">
        <f>$D$36</f>
        <v>2000</v>
      </c>
      <c r="J36" s="14"/>
      <c r="K36" s="3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  <row r="40" spans="1:8" ht="12.75">
      <c r="A40" s="211" t="s">
        <v>40</v>
      </c>
      <c r="B40" s="212"/>
      <c r="C40" s="212"/>
      <c r="D40" s="212"/>
      <c r="E40" s="212"/>
      <c r="F40" s="212"/>
      <c r="G40" s="212"/>
      <c r="H40" s="213"/>
    </row>
    <row r="41" spans="1:8" ht="12.75">
      <c r="A41" s="214"/>
      <c r="B41" s="215"/>
      <c r="C41" s="215"/>
      <c r="D41" s="215"/>
      <c r="E41" s="215"/>
      <c r="F41" s="215"/>
      <c r="G41" s="215"/>
      <c r="H41" s="216"/>
    </row>
    <row r="42" spans="1:8" ht="12.75">
      <c r="A42" s="214"/>
      <c r="B42" s="215"/>
      <c r="C42" s="215"/>
      <c r="D42" s="215"/>
      <c r="E42" s="215"/>
      <c r="F42" s="215"/>
      <c r="G42" s="215"/>
      <c r="H42" s="216"/>
    </row>
    <row r="43" spans="1:8" ht="13.5" thickBot="1">
      <c r="A43" s="217"/>
      <c r="B43" s="218"/>
      <c r="C43" s="218"/>
      <c r="D43" s="218"/>
      <c r="E43" s="218"/>
      <c r="F43" s="218"/>
      <c r="G43" s="218"/>
      <c r="H43" s="219"/>
    </row>
    <row r="96" ht="12.75"/>
    <row r="97" ht="12.75"/>
    <row r="98" ht="12.75"/>
    <row r="99" ht="12.75"/>
    <row r="100" ht="12.75"/>
  </sheetData>
  <sheetProtection/>
  <mergeCells count="11">
    <mergeCell ref="A27:C27"/>
    <mergeCell ref="A29:C29"/>
    <mergeCell ref="M7:O7"/>
    <mergeCell ref="A40:H43"/>
    <mergeCell ref="E1:G1"/>
    <mergeCell ref="A31:C31"/>
    <mergeCell ref="A35:C35"/>
    <mergeCell ref="A3:C3"/>
    <mergeCell ref="A8:C8"/>
    <mergeCell ref="A1:C1"/>
    <mergeCell ref="A2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B4">
      <selection activeCell="A1" sqref="A1:D1"/>
    </sheetView>
  </sheetViews>
  <sheetFormatPr defaultColWidth="9.140625" defaultRowHeight="12.75"/>
  <cols>
    <col min="1" max="1" width="41.7109375" style="1" customWidth="1"/>
    <col min="2" max="2" width="15.7109375" style="1" customWidth="1"/>
    <col min="3" max="3" width="17.28125" style="1" customWidth="1"/>
    <col min="4" max="4" width="13.8515625" style="1" customWidth="1"/>
    <col min="5" max="9" width="14.28125" style="1" customWidth="1"/>
    <col min="10" max="10" width="14.421875" style="1" customWidth="1"/>
    <col min="11" max="12" width="12.7109375" style="1" customWidth="1"/>
    <col min="13" max="15" width="12.7109375" style="1" hidden="1" customWidth="1"/>
    <col min="16" max="26" width="12.7109375" style="1" customWidth="1"/>
    <col min="27" max="16384" width="9.140625" style="1" customWidth="1"/>
  </cols>
  <sheetData>
    <row r="1" spans="1:10" s="3" customFormat="1" ht="31.5" customHeight="1" thickBot="1">
      <c r="A1" s="220" t="s">
        <v>4</v>
      </c>
      <c r="B1" s="221"/>
      <c r="C1" s="221"/>
      <c r="D1" s="221"/>
      <c r="E1" s="222" t="s">
        <v>118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11" ht="25.5" customHeight="1" thickBot="1">
      <c r="A3" s="225" t="s">
        <v>6</v>
      </c>
      <c r="B3" s="226"/>
      <c r="C3" s="226"/>
      <c r="D3" s="30"/>
      <c r="E3" s="40">
        <f>'Pryse + Sensatiwiteitsanali'!B77</f>
        <v>4588</v>
      </c>
      <c r="F3" s="30" t="s">
        <v>0</v>
      </c>
      <c r="G3" s="19"/>
      <c r="H3" s="19"/>
      <c r="I3" s="5"/>
      <c r="K3" s="3"/>
    </row>
    <row r="4" spans="1:11" ht="13.5" thickBot="1">
      <c r="A4" s="60"/>
      <c r="B4" s="7"/>
      <c r="C4" s="7"/>
      <c r="D4" s="6"/>
      <c r="E4" s="9"/>
      <c r="F4" s="20"/>
      <c r="G4" s="7"/>
      <c r="H4" s="21"/>
      <c r="I4" s="21"/>
      <c r="J4" s="3"/>
      <c r="K4" s="14"/>
    </row>
    <row r="5" spans="1:11" ht="13.5" thickBot="1">
      <c r="A5" s="64" t="s">
        <v>7</v>
      </c>
      <c r="B5" s="7"/>
      <c r="C5" s="7"/>
      <c r="D5" s="48">
        <v>1</v>
      </c>
      <c r="E5" s="48">
        <v>1.25</v>
      </c>
      <c r="F5" s="48">
        <v>1.5</v>
      </c>
      <c r="G5" s="48">
        <v>1.75</v>
      </c>
      <c r="H5" s="48">
        <v>2</v>
      </c>
      <c r="I5" s="48">
        <v>2.5</v>
      </c>
      <c r="J5" s="3"/>
      <c r="K5" s="14"/>
    </row>
    <row r="6" spans="1:11" ht="13.5" thickBot="1">
      <c r="A6" s="65" t="s">
        <v>8</v>
      </c>
      <c r="B6" s="62"/>
      <c r="C6" s="63"/>
      <c r="D6" s="37">
        <f aca="true" t="shared" si="0" ref="D6:I6">$E$3*D5</f>
        <v>4588</v>
      </c>
      <c r="E6" s="37">
        <f t="shared" si="0"/>
        <v>5735</v>
      </c>
      <c r="F6" s="37">
        <f t="shared" si="0"/>
        <v>6882</v>
      </c>
      <c r="G6" s="37">
        <f t="shared" si="0"/>
        <v>8029</v>
      </c>
      <c r="H6" s="37">
        <f t="shared" si="0"/>
        <v>9176</v>
      </c>
      <c r="I6" s="37">
        <f t="shared" si="0"/>
        <v>11470</v>
      </c>
      <c r="J6" s="3"/>
      <c r="K6" s="14"/>
    </row>
    <row r="7" spans="1:15" ht="15.75" thickBot="1">
      <c r="A7" s="58"/>
      <c r="B7" s="59"/>
      <c r="C7" s="59"/>
      <c r="D7" s="23"/>
      <c r="E7" s="23"/>
      <c r="F7" s="23"/>
      <c r="G7" s="23"/>
      <c r="H7" s="23"/>
      <c r="I7" s="23"/>
      <c r="J7" s="3"/>
      <c r="K7" s="14"/>
      <c r="M7" s="210" t="s">
        <v>102</v>
      </c>
      <c r="N7" s="210"/>
      <c r="O7" s="210"/>
    </row>
    <row r="8" spans="1:15" ht="15.75" thickBot="1">
      <c r="A8" s="228" t="s">
        <v>9</v>
      </c>
      <c r="B8" s="229"/>
      <c r="C8" s="230"/>
      <c r="D8" s="24"/>
      <c r="E8" s="24"/>
      <c r="F8" s="24"/>
      <c r="G8" s="24"/>
      <c r="H8" s="24"/>
      <c r="I8" s="24"/>
      <c r="J8" s="3"/>
      <c r="K8" s="14"/>
      <c r="M8" s="187" t="s">
        <v>95</v>
      </c>
      <c r="N8" s="187" t="s">
        <v>96</v>
      </c>
      <c r="O8" s="187" t="s">
        <v>97</v>
      </c>
    </row>
    <row r="9" spans="1:15" ht="12" customHeight="1">
      <c r="A9" s="69" t="s">
        <v>10</v>
      </c>
      <c r="B9" s="70"/>
      <c r="C9" s="70"/>
      <c r="D9" s="195">
        <v>398.61111111111114</v>
      </c>
      <c r="E9" s="195">
        <v>427.08333333333337</v>
      </c>
      <c r="F9" s="195">
        <v>455.5555555555556</v>
      </c>
      <c r="G9" s="195">
        <v>484.02777777777777</v>
      </c>
      <c r="H9" s="195">
        <v>512.5</v>
      </c>
      <c r="I9" s="195">
        <v>512.5</v>
      </c>
      <c r="J9" s="3"/>
      <c r="K9" s="52"/>
      <c r="M9" s="188">
        <f>D5</f>
        <v>1</v>
      </c>
      <c r="N9" s="188">
        <f>D25</f>
        <v>4822.799390486507</v>
      </c>
      <c r="O9" s="188">
        <f>D27</f>
        <v>2356.392875124792</v>
      </c>
    </row>
    <row r="10" spans="1:15" ht="12" customHeight="1">
      <c r="A10" s="66" t="s">
        <v>11</v>
      </c>
      <c r="B10" s="71"/>
      <c r="C10" s="71"/>
      <c r="D10" s="196">
        <v>860.5100000000001</v>
      </c>
      <c r="E10" s="196">
        <v>1038.1375</v>
      </c>
      <c r="F10" s="196">
        <v>1215.765</v>
      </c>
      <c r="G10" s="196">
        <v>1393.3925</v>
      </c>
      <c r="H10" s="196">
        <v>1571.0200000000002</v>
      </c>
      <c r="I10" s="196">
        <v>1926.275</v>
      </c>
      <c r="J10" s="3"/>
      <c r="K10" s="52"/>
      <c r="M10" s="188">
        <f>E5</f>
        <v>1.25</v>
      </c>
      <c r="N10" s="188">
        <f>E25</f>
        <v>5165.427843549345</v>
      </c>
      <c r="O10" s="188">
        <f>E27</f>
        <v>2356.392875124792</v>
      </c>
    </row>
    <row r="11" spans="1:15" ht="12" customHeight="1">
      <c r="A11" s="66" t="s">
        <v>12</v>
      </c>
      <c r="B11" s="71"/>
      <c r="C11" s="71"/>
      <c r="D11" s="196">
        <v>185.31450000000004</v>
      </c>
      <c r="E11" s="196">
        <v>185.31450000000004</v>
      </c>
      <c r="F11" s="196">
        <v>185.31450000000004</v>
      </c>
      <c r="G11" s="196">
        <v>185.31450000000004</v>
      </c>
      <c r="H11" s="196">
        <v>185.31450000000004</v>
      </c>
      <c r="I11" s="196">
        <v>185.31450000000004</v>
      </c>
      <c r="J11" s="3"/>
      <c r="K11" s="52"/>
      <c r="M11" s="188">
        <f>F5</f>
        <v>1.5</v>
      </c>
      <c r="N11" s="188">
        <f>F25</f>
        <v>5508.0562966121815</v>
      </c>
      <c r="O11" s="188">
        <f>F27</f>
        <v>2356.392875124792</v>
      </c>
    </row>
    <row r="12" spans="1:15" ht="12" customHeight="1">
      <c r="A12" s="66" t="s">
        <v>13</v>
      </c>
      <c r="B12" s="71"/>
      <c r="C12" s="71"/>
      <c r="D12" s="196">
        <v>907.2447186056132</v>
      </c>
      <c r="E12" s="196">
        <v>922.3599638608323</v>
      </c>
      <c r="F12" s="196">
        <v>937.4752091160512</v>
      </c>
      <c r="G12" s="196">
        <v>952.5904543712702</v>
      </c>
      <c r="H12" s="196">
        <v>967.7056996264891</v>
      </c>
      <c r="I12" s="196">
        <v>992.2323240028823</v>
      </c>
      <c r="J12" s="3"/>
      <c r="K12" s="52"/>
      <c r="M12" s="188">
        <f>G5</f>
        <v>1.75</v>
      </c>
      <c r="N12" s="188">
        <f>G25</f>
        <v>5850.684749675016</v>
      </c>
      <c r="O12" s="188">
        <f>G27</f>
        <v>2356.392875124792</v>
      </c>
    </row>
    <row r="13" spans="1:15" ht="12" customHeight="1">
      <c r="A13" s="66" t="s">
        <v>14</v>
      </c>
      <c r="B13" s="71"/>
      <c r="C13" s="71"/>
      <c r="D13" s="196">
        <v>701.8303000000001</v>
      </c>
      <c r="E13" s="196">
        <v>703.3628</v>
      </c>
      <c r="F13" s="196">
        <v>704.8953</v>
      </c>
      <c r="G13" s="196">
        <v>706.4278</v>
      </c>
      <c r="H13" s="196">
        <v>707.9603</v>
      </c>
      <c r="I13" s="196">
        <v>711.0253</v>
      </c>
      <c r="J13" s="3"/>
      <c r="K13" s="52"/>
      <c r="M13" s="188">
        <f>H5</f>
        <v>2</v>
      </c>
      <c r="N13" s="188">
        <f>H25</f>
        <v>6193.313202737855</v>
      </c>
      <c r="O13" s="188">
        <f>H27</f>
        <v>2356.392875124792</v>
      </c>
    </row>
    <row r="14" spans="1:15" ht="12" customHeight="1">
      <c r="A14" s="66" t="s">
        <v>15</v>
      </c>
      <c r="B14" s="71"/>
      <c r="C14" s="71"/>
      <c r="D14" s="196">
        <v>732.072</v>
      </c>
      <c r="E14" s="196">
        <v>732.072</v>
      </c>
      <c r="F14" s="196">
        <v>732.072</v>
      </c>
      <c r="G14" s="196">
        <v>732.072</v>
      </c>
      <c r="H14" s="196">
        <v>732.072</v>
      </c>
      <c r="I14" s="196">
        <v>732.072</v>
      </c>
      <c r="J14" s="3"/>
      <c r="K14" s="52"/>
      <c r="M14" s="188">
        <f>I5</f>
        <v>2.5</v>
      </c>
      <c r="N14" s="188">
        <f>I25</f>
        <v>6807.60266794973</v>
      </c>
      <c r="O14" s="188">
        <f>I27</f>
        <v>2356.392875124792</v>
      </c>
    </row>
    <row r="15" spans="1:11" ht="12" customHeight="1">
      <c r="A15" s="66" t="s">
        <v>16</v>
      </c>
      <c r="B15" s="71"/>
      <c r="C15" s="71"/>
      <c r="D15" s="196">
        <v>33.00000000000001</v>
      </c>
      <c r="E15" s="196">
        <v>33.00000000000001</v>
      </c>
      <c r="F15" s="196">
        <v>33.00000000000001</v>
      </c>
      <c r="G15" s="196">
        <v>33.00000000000001</v>
      </c>
      <c r="H15" s="196">
        <v>33.00000000000001</v>
      </c>
      <c r="I15" s="196">
        <v>33.00000000000001</v>
      </c>
      <c r="J15" s="3"/>
      <c r="K15" s="52"/>
    </row>
    <row r="16" spans="1:11" ht="12" customHeight="1">
      <c r="A16" s="66" t="s">
        <v>17</v>
      </c>
      <c r="B16" s="71"/>
      <c r="C16" s="71"/>
      <c r="D16" s="196">
        <v>89.466</v>
      </c>
      <c r="E16" s="196">
        <v>111.83250000000001</v>
      </c>
      <c r="F16" s="196">
        <v>134.199</v>
      </c>
      <c r="G16" s="196">
        <v>156.56550000000001</v>
      </c>
      <c r="H16" s="196">
        <v>178.932</v>
      </c>
      <c r="I16" s="196">
        <v>223.66500000000002</v>
      </c>
      <c r="J16" s="3"/>
      <c r="K16" s="52"/>
    </row>
    <row r="17" spans="1:11" ht="12" customHeight="1">
      <c r="A17" s="66" t="s">
        <v>18</v>
      </c>
      <c r="B17" s="71"/>
      <c r="C17" s="71"/>
      <c r="D17" s="196">
        <v>324.7835702704563</v>
      </c>
      <c r="E17" s="196">
        <v>347.85732541803793</v>
      </c>
      <c r="F17" s="196">
        <v>370.9310805656196</v>
      </c>
      <c r="G17" s="196">
        <v>394.0048357132011</v>
      </c>
      <c r="H17" s="196">
        <v>417.0785908607828</v>
      </c>
      <c r="I17" s="196">
        <v>458.44691442916496</v>
      </c>
      <c r="J17" s="3"/>
      <c r="K17" s="52"/>
    </row>
    <row r="18" spans="1:11" ht="12" customHeight="1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3"/>
      <c r="K18" s="52"/>
    </row>
    <row r="19" spans="1:11" ht="12" customHeight="1">
      <c r="A19" s="66" t="s">
        <v>20</v>
      </c>
      <c r="B19" s="71"/>
      <c r="C19" s="71"/>
      <c r="D19" s="196">
        <v>229.4</v>
      </c>
      <c r="E19" s="196">
        <v>286.75</v>
      </c>
      <c r="F19" s="196">
        <v>344.1</v>
      </c>
      <c r="G19" s="196">
        <v>401.45000000000005</v>
      </c>
      <c r="H19" s="196">
        <v>458.8</v>
      </c>
      <c r="I19" s="196">
        <v>573.5</v>
      </c>
      <c r="J19" s="3"/>
      <c r="K19" s="52"/>
    </row>
    <row r="20" spans="1:11" ht="12" customHeight="1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3"/>
      <c r="K20" s="52"/>
    </row>
    <row r="21" spans="1:11" ht="12" customHeight="1">
      <c r="A21" s="66" t="s">
        <v>22</v>
      </c>
      <c r="B21" s="71"/>
      <c r="C21" s="71"/>
      <c r="D21" s="196">
        <v>120</v>
      </c>
      <c r="E21" s="196">
        <v>120</v>
      </c>
      <c r="F21" s="196">
        <v>120</v>
      </c>
      <c r="G21" s="196">
        <v>120</v>
      </c>
      <c r="H21" s="196">
        <v>120</v>
      </c>
      <c r="I21" s="196">
        <v>120</v>
      </c>
      <c r="J21" s="3"/>
      <c r="K21" s="52"/>
    </row>
    <row r="22" spans="1:11" ht="12" customHeight="1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3"/>
      <c r="K22" s="52"/>
    </row>
    <row r="23" spans="1:11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3"/>
      <c r="K23" s="52"/>
    </row>
    <row r="24" spans="1:11" ht="13.5" thickBot="1">
      <c r="A24" s="66" t="s">
        <v>25</v>
      </c>
      <c r="B24" s="71"/>
      <c r="C24" s="71"/>
      <c r="D24" s="196">
        <v>240.56719049932698</v>
      </c>
      <c r="E24" s="196">
        <v>257.6579209371407</v>
      </c>
      <c r="F24" s="196">
        <v>274.7486513749544</v>
      </c>
      <c r="G24" s="196">
        <v>291.839381812768</v>
      </c>
      <c r="H24" s="196">
        <v>308.93011225058183</v>
      </c>
      <c r="I24" s="196">
        <v>339.57162951768254</v>
      </c>
      <c r="J24" s="3"/>
      <c r="K24" s="52"/>
    </row>
    <row r="25" spans="1:11" ht="24.75" customHeight="1" thickBot="1">
      <c r="A25" s="207" t="s">
        <v>26</v>
      </c>
      <c r="B25" s="208"/>
      <c r="C25" s="209"/>
      <c r="D25" s="33">
        <f aca="true" t="shared" si="1" ref="D25:I25">SUM(D9:D24)</f>
        <v>4822.799390486507</v>
      </c>
      <c r="E25" s="33">
        <f t="shared" si="1"/>
        <v>5165.427843549345</v>
      </c>
      <c r="F25" s="33">
        <f t="shared" si="1"/>
        <v>5508.0562966121815</v>
      </c>
      <c r="G25" s="33">
        <f t="shared" si="1"/>
        <v>5850.684749675016</v>
      </c>
      <c r="H25" s="33">
        <f t="shared" si="1"/>
        <v>6193.313202737855</v>
      </c>
      <c r="I25" s="33">
        <f t="shared" si="1"/>
        <v>6807.60266794973</v>
      </c>
      <c r="J25" s="3"/>
      <c r="K25" s="52"/>
    </row>
    <row r="26" spans="1:11" ht="13.5" thickBot="1">
      <c r="A26" s="72"/>
      <c r="B26" s="73"/>
      <c r="C26" s="73"/>
      <c r="D26" s="34"/>
      <c r="E26" s="34"/>
      <c r="F26" s="34"/>
      <c r="G26" s="34"/>
      <c r="H26" s="34"/>
      <c r="I26" s="34"/>
      <c r="J26" s="3"/>
      <c r="K26" s="14"/>
    </row>
    <row r="27" spans="1:11" ht="13.5" thickBot="1">
      <c r="A27" s="231" t="s">
        <v>27</v>
      </c>
      <c r="B27" s="232"/>
      <c r="C27" s="233"/>
      <c r="D27" s="197">
        <v>2356.392875124792</v>
      </c>
      <c r="E27" s="197">
        <v>2356.392875124792</v>
      </c>
      <c r="F27" s="197">
        <v>2356.392875124792</v>
      </c>
      <c r="G27" s="197">
        <v>2356.392875124792</v>
      </c>
      <c r="H27" s="197">
        <v>2356.392875124792</v>
      </c>
      <c r="I27" s="197">
        <v>2356.392875124792</v>
      </c>
      <c r="J27" s="27"/>
      <c r="K27" s="14"/>
    </row>
    <row r="28" spans="1:11" ht="13.5" thickBot="1">
      <c r="A28" s="72"/>
      <c r="B28" s="73"/>
      <c r="C28" s="73"/>
      <c r="D28" s="34"/>
      <c r="E28" s="34"/>
      <c r="F28" s="34"/>
      <c r="G28" s="34"/>
      <c r="H28" s="34"/>
      <c r="I28" s="34"/>
      <c r="J28" s="3"/>
      <c r="K28" s="14"/>
    </row>
    <row r="29" spans="1:11" ht="28.5" customHeight="1" thickBot="1">
      <c r="A29" s="207" t="s">
        <v>28</v>
      </c>
      <c r="B29" s="208"/>
      <c r="C29" s="209"/>
      <c r="D29" s="33">
        <f aca="true" t="shared" si="2" ref="D29:I29">D25+D27</f>
        <v>7179.192265611299</v>
      </c>
      <c r="E29" s="33">
        <f t="shared" si="2"/>
        <v>7521.820718674137</v>
      </c>
      <c r="F29" s="33">
        <f t="shared" si="2"/>
        <v>7864.449171736974</v>
      </c>
      <c r="G29" s="33">
        <f t="shared" si="2"/>
        <v>8207.077624799807</v>
      </c>
      <c r="H29" s="33">
        <f t="shared" si="2"/>
        <v>8549.706077862647</v>
      </c>
      <c r="I29" s="33">
        <f t="shared" si="2"/>
        <v>9163.995543074521</v>
      </c>
      <c r="J29" s="3"/>
      <c r="K29" s="3"/>
    </row>
    <row r="30" spans="1:11" ht="13.5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3"/>
    </row>
    <row r="31" spans="1:11" ht="27.75" customHeight="1" thickBot="1">
      <c r="A31" s="207" t="s">
        <v>29</v>
      </c>
      <c r="B31" s="223"/>
      <c r="C31" s="224"/>
      <c r="D31" s="33">
        <f aca="true" t="shared" si="3" ref="D31:I31">D29/D5</f>
        <v>7179.192265611299</v>
      </c>
      <c r="E31" s="33">
        <f t="shared" si="3"/>
        <v>6017.45657493931</v>
      </c>
      <c r="F31" s="33">
        <f t="shared" si="3"/>
        <v>5242.966114491316</v>
      </c>
      <c r="G31" s="33">
        <f t="shared" si="3"/>
        <v>4689.758642742747</v>
      </c>
      <c r="H31" s="33">
        <f t="shared" si="3"/>
        <v>4274.853038931324</v>
      </c>
      <c r="I31" s="33">
        <f t="shared" si="3"/>
        <v>3665.5982172298086</v>
      </c>
      <c r="J31" s="3"/>
      <c r="K31" s="3"/>
    </row>
    <row r="32" spans="1:11" ht="13.5" thickBot="1">
      <c r="A32" s="58"/>
      <c r="B32" s="59"/>
      <c r="C32" s="59"/>
      <c r="D32" s="36"/>
      <c r="E32" s="36"/>
      <c r="F32" s="36"/>
      <c r="G32" s="36"/>
      <c r="H32" s="36"/>
      <c r="I32" s="36"/>
      <c r="J32" s="3"/>
      <c r="K32" s="14"/>
    </row>
    <row r="33" spans="1:11" ht="13.5" thickBot="1">
      <c r="A33" s="61" t="s">
        <v>30</v>
      </c>
      <c r="B33" s="62"/>
      <c r="C33" s="62"/>
      <c r="D33" s="33">
        <f>'Pryse + Sensatiwiteitsanali'!D5</f>
        <v>312</v>
      </c>
      <c r="E33" s="33">
        <f>$D$33</f>
        <v>312</v>
      </c>
      <c r="F33" s="33">
        <f>$D$33</f>
        <v>312</v>
      </c>
      <c r="G33" s="33">
        <f>$D$33</f>
        <v>312</v>
      </c>
      <c r="H33" s="33">
        <f>$D$33</f>
        <v>312</v>
      </c>
      <c r="I33" s="33">
        <f>$D$33</f>
        <v>312</v>
      </c>
      <c r="J33" s="3"/>
      <c r="K33" s="14"/>
    </row>
    <row r="34" spans="1:11" ht="13.5" thickBot="1">
      <c r="A34" s="58"/>
      <c r="B34" s="59"/>
      <c r="C34" s="59"/>
      <c r="D34" s="36"/>
      <c r="E34" s="36"/>
      <c r="F34" s="36"/>
      <c r="G34" s="36"/>
      <c r="H34" s="36"/>
      <c r="I34" s="36"/>
      <c r="J34" s="3"/>
      <c r="K34" s="14"/>
    </row>
    <row r="35" spans="1:11" ht="24.75" customHeight="1" thickBot="1">
      <c r="A35" s="225" t="s">
        <v>31</v>
      </c>
      <c r="B35" s="226"/>
      <c r="C35" s="227"/>
      <c r="D35" s="35">
        <f aca="true" t="shared" si="4" ref="D35:I35">D31+D33</f>
        <v>7491.192265611299</v>
      </c>
      <c r="E35" s="35">
        <f t="shared" si="4"/>
        <v>6329.45657493931</v>
      </c>
      <c r="F35" s="35">
        <f t="shared" si="4"/>
        <v>5554.966114491316</v>
      </c>
      <c r="G35" s="35">
        <f t="shared" si="4"/>
        <v>5001.758642742747</v>
      </c>
      <c r="H35" s="35">
        <f t="shared" si="4"/>
        <v>4586.853038931324</v>
      </c>
      <c r="I35" s="35">
        <f t="shared" si="4"/>
        <v>3977.5982172298086</v>
      </c>
      <c r="J35" s="3"/>
      <c r="K35" s="14"/>
    </row>
    <row r="36" spans="1:11" ht="13.5" thickBot="1">
      <c r="A36" s="56" t="s">
        <v>32</v>
      </c>
      <c r="B36" s="57"/>
      <c r="C36" s="5"/>
      <c r="D36" s="35">
        <f>'Pryse + Sensatiwiteitsanali'!B5</f>
        <v>4900</v>
      </c>
      <c r="E36" s="35">
        <f>$D$36</f>
        <v>4900</v>
      </c>
      <c r="F36" s="35">
        <f>$D$36</f>
        <v>4900</v>
      </c>
      <c r="G36" s="35">
        <f>$D$36</f>
        <v>4900</v>
      </c>
      <c r="H36" s="35">
        <f>$D$36</f>
        <v>4900</v>
      </c>
      <c r="I36" s="35">
        <f>$D$36</f>
        <v>4900</v>
      </c>
      <c r="J36" s="14"/>
      <c r="K36" s="3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  <row r="94" ht="12.75"/>
    <row r="95" ht="12.75"/>
    <row r="96" ht="12.75"/>
  </sheetData>
  <sheetProtection/>
  <mergeCells count="10">
    <mergeCell ref="M7:O7"/>
    <mergeCell ref="A1:D1"/>
    <mergeCell ref="E1:G1"/>
    <mergeCell ref="A31:C31"/>
    <mergeCell ref="A35:C35"/>
    <mergeCell ref="A3:C3"/>
    <mergeCell ref="A8:C8"/>
    <mergeCell ref="A25:C25"/>
    <mergeCell ref="A27:C27"/>
    <mergeCell ref="A29:C29"/>
  </mergeCells>
  <printOptions/>
  <pageMargins left="0.35433070866141736" right="0.35433070866141736" top="0.5905511811023623" bottom="0.5905511811023623" header="0.31496062992125984" footer="0.31496062992125984"/>
  <pageSetup fitToHeight="0" fitToWidth="1" horizontalDpi="600" verticalDpi="600" orientation="portrait" paperSize="9" scale="61" r:id="rId2"/>
  <headerFooter alignWithMargins="0">
    <oddHeader>&amp;C&amp;F</oddHead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41.7109375" style="1" customWidth="1"/>
    <col min="2" max="2" width="18.00390625" style="1" customWidth="1"/>
    <col min="3" max="3" width="17.28125" style="1" customWidth="1"/>
    <col min="4" max="4" width="16.140625" style="1" customWidth="1"/>
    <col min="5" max="9" width="14.28125" style="1" customWidth="1"/>
    <col min="10" max="10" width="14.421875" style="1" customWidth="1"/>
    <col min="11" max="26" width="12.7109375" style="1" customWidth="1"/>
    <col min="27" max="16384" width="9.140625" style="1" customWidth="1"/>
  </cols>
  <sheetData>
    <row r="1" spans="1:10" s="3" customFormat="1" ht="30.75" customHeight="1" thickBot="1">
      <c r="A1" s="220" t="s">
        <v>42</v>
      </c>
      <c r="B1" s="221"/>
      <c r="C1" s="221"/>
      <c r="D1" s="221"/>
      <c r="E1" s="222" t="s">
        <v>117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4"/>
      <c r="F2" s="10"/>
      <c r="G2" s="10"/>
      <c r="H2" s="10"/>
      <c r="I2" s="4"/>
      <c r="J2" s="3"/>
    </row>
    <row r="3" spans="1:11" s="169" customFormat="1" ht="39.75" customHeight="1" thickBot="1">
      <c r="A3" s="165" t="s">
        <v>73</v>
      </c>
      <c r="B3" s="76"/>
      <c r="C3" s="76"/>
      <c r="D3" s="166" t="s">
        <v>74</v>
      </c>
      <c r="E3" s="167" t="s">
        <v>75</v>
      </c>
      <c r="F3" s="76"/>
      <c r="G3" s="76"/>
      <c r="H3" s="76"/>
      <c r="I3" s="76"/>
      <c r="J3" s="168"/>
      <c r="K3" s="168"/>
    </row>
    <row r="4" spans="1:11" s="169" customFormat="1" ht="12.75">
      <c r="A4" s="170" t="s">
        <v>76</v>
      </c>
      <c r="B4" s="171"/>
      <c r="C4" s="171"/>
      <c r="D4" s="172">
        <f>'Pryse + Sensatiwiteitsanali'!B8</f>
        <v>9250</v>
      </c>
      <c r="E4" s="173">
        <v>0.6</v>
      </c>
      <c r="F4" s="172"/>
      <c r="G4" s="172"/>
      <c r="H4" s="172"/>
      <c r="I4" s="174"/>
      <c r="J4" s="168"/>
      <c r="K4" s="168"/>
    </row>
    <row r="5" spans="1:11" s="169" customFormat="1" ht="12.75">
      <c r="A5" s="175" t="s">
        <v>77</v>
      </c>
      <c r="B5" s="171"/>
      <c r="C5" s="171"/>
      <c r="D5" s="172">
        <f>'Pryse + Sensatiwiteitsanali'!B9</f>
        <v>5500</v>
      </c>
      <c r="E5" s="173">
        <v>0.25</v>
      </c>
      <c r="F5" s="172"/>
      <c r="G5" s="172"/>
      <c r="H5" s="172"/>
      <c r="I5" s="174"/>
      <c r="J5" s="168"/>
      <c r="K5" s="168"/>
    </row>
    <row r="6" spans="1:11" s="169" customFormat="1" ht="12.75">
      <c r="A6" s="175" t="s">
        <v>78</v>
      </c>
      <c r="B6" s="171"/>
      <c r="C6" s="171"/>
      <c r="D6" s="172">
        <f>'Pryse + Sensatiwiteitsanali'!B10</f>
        <v>2500</v>
      </c>
      <c r="E6" s="173">
        <v>0.1</v>
      </c>
      <c r="F6" s="172"/>
      <c r="G6" s="172"/>
      <c r="H6" s="172"/>
      <c r="I6" s="174"/>
      <c r="J6" s="168"/>
      <c r="K6" s="168"/>
    </row>
    <row r="7" spans="1:11" s="169" customFormat="1" ht="12.75">
      <c r="A7" s="175" t="s">
        <v>79</v>
      </c>
      <c r="B7" s="171"/>
      <c r="C7" s="171"/>
      <c r="D7" s="172">
        <f>'Pryse + Sensatiwiteitsanali'!B11</f>
        <v>1000</v>
      </c>
      <c r="E7" s="173">
        <v>0.05</v>
      </c>
      <c r="F7" s="172"/>
      <c r="G7" s="172"/>
      <c r="H7" s="172"/>
      <c r="I7" s="174"/>
      <c r="J7" s="168"/>
      <c r="K7" s="168"/>
    </row>
    <row r="8" spans="1:11" s="169" customFormat="1" ht="13.5" thickBot="1">
      <c r="A8" s="176" t="s">
        <v>80</v>
      </c>
      <c r="B8" s="177"/>
      <c r="C8" s="177"/>
      <c r="D8" s="172">
        <f>'Pryse + Sensatiwiteitsanali'!B12</f>
        <v>800</v>
      </c>
      <c r="E8" s="179"/>
      <c r="F8" s="178"/>
      <c r="G8" s="178"/>
      <c r="H8" s="178"/>
      <c r="I8" s="180"/>
      <c r="J8" s="168"/>
      <c r="K8" s="168"/>
    </row>
    <row r="9" spans="1:11" s="169" customFormat="1" ht="15" customHeight="1" thickBot="1">
      <c r="A9" s="225" t="s">
        <v>81</v>
      </c>
      <c r="B9" s="237"/>
      <c r="C9" s="237"/>
      <c r="D9" s="181">
        <f>(D4*E4)+(D5*E5)+(D6*E6)+(D7*E7)</f>
        <v>7225</v>
      </c>
      <c r="E9" s="182" t="s">
        <v>0</v>
      </c>
      <c r="F9" s="182"/>
      <c r="G9" s="183"/>
      <c r="H9" s="183"/>
      <c r="I9" s="76"/>
      <c r="K9" s="168"/>
    </row>
    <row r="10" spans="1:11" ht="13.5" thickBot="1">
      <c r="A10" s="64"/>
      <c r="B10" s="77"/>
      <c r="C10" s="77"/>
      <c r="D10" s="6"/>
      <c r="E10" s="49"/>
      <c r="F10" s="20"/>
      <c r="G10" s="7"/>
      <c r="H10" s="21"/>
      <c r="I10" s="21"/>
      <c r="J10" s="3"/>
      <c r="K10" s="3"/>
    </row>
    <row r="11" spans="1:11" ht="13.5" thickBot="1">
      <c r="A11" s="64" t="s">
        <v>7</v>
      </c>
      <c r="B11" s="77"/>
      <c r="C11" s="77"/>
      <c r="D11" s="48">
        <v>1.5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3"/>
      <c r="K11" s="3"/>
    </row>
    <row r="12" spans="1:11" ht="13.5" thickBot="1">
      <c r="A12" s="65" t="s">
        <v>8</v>
      </c>
      <c r="B12" s="78"/>
      <c r="C12" s="79"/>
      <c r="D12" s="37">
        <f>(D9*D11)+(D8*D11)</f>
        <v>12037.5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"/>
      <c r="K12" s="3"/>
    </row>
    <row r="13" spans="1:11" ht="13.5" thickBot="1">
      <c r="A13" s="67"/>
      <c r="B13" s="68"/>
      <c r="C13" s="68"/>
      <c r="D13" s="23"/>
      <c r="E13" s="23"/>
      <c r="F13" s="23"/>
      <c r="G13" s="23"/>
      <c r="H13" s="23"/>
      <c r="I13" s="23"/>
      <c r="J13" s="3"/>
      <c r="K13" s="3"/>
    </row>
    <row r="14" spans="1:11" ht="28.5" customHeight="1" thickBot="1">
      <c r="A14" s="228" t="s">
        <v>9</v>
      </c>
      <c r="B14" s="229"/>
      <c r="C14" s="230"/>
      <c r="D14" s="24"/>
      <c r="E14" s="24"/>
      <c r="F14" s="24"/>
      <c r="G14" s="24"/>
      <c r="H14" s="24"/>
      <c r="I14" s="24"/>
      <c r="J14" s="3"/>
      <c r="K14" s="3"/>
    </row>
    <row r="15" spans="1:11" ht="12.75">
      <c r="A15" s="69" t="s">
        <v>10</v>
      </c>
      <c r="B15" s="70"/>
      <c r="C15" s="70"/>
      <c r="D15" s="195">
        <v>1300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"/>
      <c r="K15" s="3"/>
    </row>
    <row r="16" spans="1:11" ht="12.75">
      <c r="A16" s="66" t="s">
        <v>11</v>
      </c>
      <c r="B16" s="71"/>
      <c r="C16" s="71"/>
      <c r="D16" s="196">
        <v>845.0999999999999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"/>
      <c r="K16" s="3"/>
    </row>
    <row r="17" spans="1:11" ht="12.75">
      <c r="A17" s="66" t="s">
        <v>12</v>
      </c>
      <c r="B17" s="71"/>
      <c r="C17" s="71"/>
      <c r="D17" s="196">
        <v>556.5000000000001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"/>
      <c r="K17" s="3"/>
    </row>
    <row r="18" spans="1:11" ht="12.75">
      <c r="A18" s="66" t="s">
        <v>13</v>
      </c>
      <c r="B18" s="71"/>
      <c r="C18" s="71"/>
      <c r="D18" s="196">
        <v>974.2972471338614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"/>
      <c r="K18" s="3"/>
    </row>
    <row r="19" spans="1:11" ht="12.75">
      <c r="A19" s="66" t="s">
        <v>14</v>
      </c>
      <c r="B19" s="71"/>
      <c r="C19" s="71"/>
      <c r="D19" s="196">
        <v>927.4054781376519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"/>
      <c r="K19" s="3"/>
    </row>
    <row r="20" spans="1:11" ht="12.75">
      <c r="A20" s="66" t="s">
        <v>15</v>
      </c>
      <c r="B20" s="71"/>
      <c r="C20" s="71"/>
      <c r="D20" s="196">
        <v>615.1750000000001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"/>
      <c r="K20" s="3"/>
    </row>
    <row r="21" spans="1:11" ht="12.75">
      <c r="A21" s="66" t="s">
        <v>16</v>
      </c>
      <c r="B21" s="71"/>
      <c r="C21" s="71"/>
      <c r="D21" s="196">
        <v>582.681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"/>
      <c r="K21" s="3"/>
    </row>
    <row r="22" spans="1:11" ht="12.75">
      <c r="A22" s="66" t="s">
        <v>17</v>
      </c>
      <c r="B22" s="71"/>
      <c r="C22" s="71"/>
      <c r="D22" s="196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"/>
      <c r="K22" s="3"/>
    </row>
    <row r="23" spans="1:11" ht="12.75">
      <c r="A23" s="66" t="s">
        <v>18</v>
      </c>
      <c r="B23" s="71"/>
      <c r="C23" s="71"/>
      <c r="D23" s="196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"/>
      <c r="K23" s="3"/>
    </row>
    <row r="24" spans="1:11" ht="12.75">
      <c r="A24" s="66" t="s">
        <v>19</v>
      </c>
      <c r="B24" s="71"/>
      <c r="C24" s="71"/>
      <c r="D24" s="196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"/>
      <c r="K24" s="3"/>
    </row>
    <row r="25" spans="1:11" ht="12.75">
      <c r="A25" s="66" t="s">
        <v>20</v>
      </c>
      <c r="B25" s="71"/>
      <c r="C25" s="71"/>
      <c r="D25" s="196">
        <v>539.4240000000001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"/>
      <c r="K25" s="3"/>
    </row>
    <row r="26" spans="1:11" ht="12.75">
      <c r="A26" s="66" t="s">
        <v>21</v>
      </c>
      <c r="B26" s="71"/>
      <c r="C26" s="71"/>
      <c r="D26" s="196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"/>
      <c r="K26" s="3"/>
    </row>
    <row r="27" spans="1:11" ht="12.75">
      <c r="A27" s="66" t="s">
        <v>22</v>
      </c>
      <c r="B27" s="71"/>
      <c r="C27" s="71"/>
      <c r="D27" s="196">
        <v>900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"/>
      <c r="K27" s="3"/>
    </row>
    <row r="28" spans="1:11" ht="12.75">
      <c r="A28" s="66" t="s">
        <v>23</v>
      </c>
      <c r="B28" s="71"/>
      <c r="C28" s="71"/>
      <c r="D28" s="196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"/>
      <c r="K28" s="3"/>
    </row>
    <row r="29" spans="1:11" ht="12.75">
      <c r="A29" s="66" t="s">
        <v>24</v>
      </c>
      <c r="B29" s="71"/>
      <c r="C29" s="71"/>
      <c r="D29" s="196">
        <v>500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"/>
      <c r="K29" s="3"/>
    </row>
    <row r="30" spans="1:11" ht="13.5" thickBot="1">
      <c r="A30" s="66" t="s">
        <v>25</v>
      </c>
      <c r="B30" s="71"/>
      <c r="C30" s="71"/>
      <c r="D30" s="196">
        <v>380.1305930767544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"/>
      <c r="K30" s="3"/>
    </row>
    <row r="31" spans="1:11" ht="27.75" customHeight="1" thickBot="1">
      <c r="A31" s="207" t="s">
        <v>26</v>
      </c>
      <c r="B31" s="208"/>
      <c r="C31" s="209"/>
      <c r="D31" s="33">
        <f>SUM(D15:D30)</f>
        <v>8120.713318348267</v>
      </c>
      <c r="E31" s="50"/>
      <c r="F31" s="33">
        <v>0</v>
      </c>
      <c r="G31" s="33">
        <v>0</v>
      </c>
      <c r="H31" s="33">
        <v>0</v>
      </c>
      <c r="I31" s="33">
        <v>0</v>
      </c>
      <c r="J31" s="3"/>
      <c r="K31" s="3"/>
    </row>
    <row r="32" spans="1:11" ht="13.5" thickBot="1">
      <c r="A32" s="72"/>
      <c r="B32" s="73"/>
      <c r="C32" s="73"/>
      <c r="D32" s="34"/>
      <c r="E32" s="34"/>
      <c r="F32" s="34"/>
      <c r="G32" s="34"/>
      <c r="H32" s="34"/>
      <c r="I32" s="34"/>
      <c r="J32" s="3"/>
      <c r="K32" s="3"/>
    </row>
    <row r="33" spans="1:11" ht="13.5" customHeight="1" thickBot="1">
      <c r="A33" s="231" t="s">
        <v>27</v>
      </c>
      <c r="B33" s="232"/>
      <c r="C33" s="233"/>
      <c r="D33" s="197">
        <v>2415.5338751247928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27"/>
      <c r="K33" s="3"/>
    </row>
    <row r="34" spans="1:11" ht="13.5" thickBot="1">
      <c r="A34" s="72"/>
      <c r="B34" s="73"/>
      <c r="C34" s="73"/>
      <c r="D34" s="34"/>
      <c r="E34" s="34"/>
      <c r="F34" s="34"/>
      <c r="G34" s="34"/>
      <c r="H34" s="34"/>
      <c r="I34" s="34"/>
      <c r="J34" s="3"/>
      <c r="K34" s="3"/>
    </row>
    <row r="35" spans="1:11" ht="26.25" customHeight="1" thickBot="1">
      <c r="A35" s="207" t="s">
        <v>28</v>
      </c>
      <c r="B35" s="208"/>
      <c r="C35" s="209"/>
      <c r="D35" s="33">
        <f>D31+D33</f>
        <v>10536.24719347306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"/>
      <c r="K35" s="3"/>
    </row>
    <row r="36" spans="1:11" ht="13.5" thickBot="1">
      <c r="A36" s="67"/>
      <c r="B36" s="68"/>
      <c r="C36" s="68"/>
      <c r="D36" s="36"/>
      <c r="E36" s="36"/>
      <c r="F36" s="36"/>
      <c r="G36" s="36"/>
      <c r="H36" s="36"/>
      <c r="I36" s="36"/>
      <c r="J36" s="3"/>
      <c r="K36" s="3"/>
    </row>
    <row r="37" spans="1:11" ht="27.75" customHeight="1" thickBot="1">
      <c r="A37" s="207" t="s">
        <v>29</v>
      </c>
      <c r="B37" s="208"/>
      <c r="C37" s="209"/>
      <c r="D37" s="33">
        <f>D35/D11</f>
        <v>7024.164795648707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"/>
      <c r="K37" s="3"/>
    </row>
    <row r="38" spans="1:11" ht="13.5" thickBot="1">
      <c r="A38" s="67"/>
      <c r="B38" s="68"/>
      <c r="C38" s="68"/>
      <c r="D38" s="36"/>
      <c r="E38" s="36"/>
      <c r="F38" s="36"/>
      <c r="G38" s="36"/>
      <c r="H38" s="36"/>
      <c r="I38" s="36"/>
      <c r="J38" s="3"/>
      <c r="K38" s="3"/>
    </row>
    <row r="39" spans="1:11" ht="13.5" thickBot="1">
      <c r="A39" s="65" t="s">
        <v>30</v>
      </c>
      <c r="B39" s="78"/>
      <c r="C39" s="78"/>
      <c r="D39" s="33">
        <v>63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"/>
      <c r="K39" s="3"/>
    </row>
    <row r="40" spans="1:11" ht="13.5" thickBot="1">
      <c r="A40" s="67"/>
      <c r="B40" s="68"/>
      <c r="C40" s="68"/>
      <c r="D40" s="36"/>
      <c r="E40" s="36"/>
      <c r="F40" s="36"/>
      <c r="G40" s="36"/>
      <c r="H40" s="36"/>
      <c r="I40" s="36"/>
      <c r="J40" s="3"/>
      <c r="K40" s="3"/>
    </row>
    <row r="41" spans="1:11" ht="13.5" customHeight="1" thickBot="1">
      <c r="A41" s="234" t="s">
        <v>33</v>
      </c>
      <c r="B41" s="235"/>
      <c r="C41" s="236"/>
      <c r="D41" s="35">
        <f>D37+D39</f>
        <v>7087.164795648707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"/>
      <c r="K41" s="3"/>
    </row>
    <row r="42" spans="1:11" ht="13.5" thickBot="1">
      <c r="A42" s="74" t="s">
        <v>34</v>
      </c>
      <c r="B42" s="75"/>
      <c r="C42" s="76"/>
      <c r="D42" s="35">
        <f>'Pryse + Sensatiwiteitsanali'!B8</f>
        <v>9250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14"/>
      <c r="K42" s="3"/>
    </row>
    <row r="43" spans="1:10" ht="13.5" thickBot="1">
      <c r="A43" s="74" t="s">
        <v>35</v>
      </c>
      <c r="B43" s="75"/>
      <c r="C43" s="76"/>
      <c r="D43" s="35">
        <f>D9</f>
        <v>7225</v>
      </c>
      <c r="E43" s="35"/>
      <c r="F43" s="35"/>
      <c r="G43" s="35"/>
      <c r="H43" s="35"/>
      <c r="I43" s="35"/>
      <c r="J43" s="3"/>
    </row>
    <row r="44" spans="1:10" ht="15">
      <c r="A44" s="81" t="s">
        <v>37</v>
      </c>
      <c r="B44" s="82"/>
      <c r="C44" s="82"/>
      <c r="D44" s="82"/>
      <c r="E44" s="82"/>
      <c r="F44" s="82"/>
      <c r="G44" s="82"/>
      <c r="H44" s="83"/>
      <c r="I44" s="80"/>
      <c r="J44" s="80"/>
    </row>
    <row r="45" spans="1:10" ht="15">
      <c r="A45" s="84" t="s">
        <v>38</v>
      </c>
      <c r="B45" s="85"/>
      <c r="C45" s="85"/>
      <c r="D45" s="85"/>
      <c r="E45" s="85"/>
      <c r="F45" s="85"/>
      <c r="G45" s="85"/>
      <c r="H45" s="86"/>
      <c r="I45" s="80"/>
      <c r="J45" s="80"/>
    </row>
    <row r="46" spans="1:10" ht="15.75" thickBot="1">
      <c r="A46" s="87" t="s">
        <v>39</v>
      </c>
      <c r="B46" s="88"/>
      <c r="C46" s="88"/>
      <c r="D46" s="88"/>
      <c r="E46" s="88"/>
      <c r="F46" s="88"/>
      <c r="G46" s="88"/>
      <c r="H46" s="89"/>
      <c r="I46" s="80"/>
      <c r="J46" s="80"/>
    </row>
  </sheetData>
  <sheetProtection/>
  <mergeCells count="9">
    <mergeCell ref="A1:D1"/>
    <mergeCell ref="E1:G1"/>
    <mergeCell ref="A37:C37"/>
    <mergeCell ref="A41:C41"/>
    <mergeCell ref="A14:C14"/>
    <mergeCell ref="A31:C31"/>
    <mergeCell ref="A33:C33"/>
    <mergeCell ref="A35:C35"/>
    <mergeCell ref="A9:C9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0" r:id="rId2"/>
  <headerFooter>
    <oddHeader>&amp;C&amp;F</oddHead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C5">
      <selection activeCell="A1" sqref="A1:D1"/>
    </sheetView>
  </sheetViews>
  <sheetFormatPr defaultColWidth="9.140625" defaultRowHeight="12.75"/>
  <cols>
    <col min="1" max="1" width="41.7109375" style="1" customWidth="1"/>
    <col min="2" max="2" width="18.00390625" style="1" customWidth="1"/>
    <col min="3" max="3" width="17.28125" style="1" customWidth="1"/>
    <col min="4" max="4" width="16.140625" style="1" customWidth="1"/>
    <col min="5" max="9" width="14.28125" style="1" customWidth="1"/>
    <col min="10" max="10" width="14.421875" style="1" customWidth="1"/>
    <col min="11" max="12" width="12.7109375" style="1" customWidth="1"/>
    <col min="13" max="15" width="12.7109375" style="1" hidden="1" customWidth="1"/>
    <col min="16" max="26" width="12.7109375" style="1" customWidth="1"/>
    <col min="27" max="16384" width="9.140625" style="1" customWidth="1"/>
  </cols>
  <sheetData>
    <row r="1" spans="1:10" s="3" customFormat="1" ht="31.5" customHeight="1" thickBot="1">
      <c r="A1" s="220" t="s">
        <v>43</v>
      </c>
      <c r="B1" s="221"/>
      <c r="C1" s="221"/>
      <c r="D1" s="221"/>
      <c r="E1" s="222" t="s">
        <v>116</v>
      </c>
      <c r="F1" s="222"/>
      <c r="G1" s="222"/>
      <c r="H1" s="2"/>
      <c r="I1" s="15"/>
      <c r="J1" s="14"/>
    </row>
    <row r="2" spans="1:10" ht="16.5" thickBot="1">
      <c r="A2" s="16"/>
      <c r="B2" s="17"/>
      <c r="C2" s="18"/>
      <c r="D2" s="18"/>
      <c r="E2" s="10"/>
      <c r="F2" s="10"/>
      <c r="G2" s="10"/>
      <c r="H2" s="10"/>
      <c r="I2" s="4"/>
      <c r="J2" s="3"/>
    </row>
    <row r="3" spans="1:11" ht="26.25" customHeight="1" thickBot="1">
      <c r="A3" s="234" t="s">
        <v>6</v>
      </c>
      <c r="B3" s="223"/>
      <c r="C3" s="223"/>
      <c r="D3" s="30"/>
      <c r="E3" s="40">
        <f>'Pryse + Sensatiwiteitsanali'!B90</f>
        <v>4757</v>
      </c>
      <c r="F3" s="30" t="s">
        <v>0</v>
      </c>
      <c r="G3" s="19"/>
      <c r="H3" s="19"/>
      <c r="I3" s="5"/>
      <c r="K3" s="3"/>
    </row>
    <row r="4" spans="1:11" ht="13.5" thickBot="1">
      <c r="A4" s="64"/>
      <c r="B4" s="77"/>
      <c r="C4" s="77"/>
      <c r="D4" s="6"/>
      <c r="E4" s="9"/>
      <c r="F4" s="20"/>
      <c r="G4" s="7"/>
      <c r="H4" s="21"/>
      <c r="I4" s="21"/>
      <c r="J4" s="3"/>
      <c r="K4" s="14"/>
    </row>
    <row r="5" spans="1:11" ht="13.5" thickBot="1">
      <c r="A5" s="64" t="s">
        <v>7</v>
      </c>
      <c r="B5" s="77"/>
      <c r="C5" s="77"/>
      <c r="D5" s="51">
        <v>1.25</v>
      </c>
      <c r="E5" s="51">
        <v>1.5</v>
      </c>
      <c r="F5" s="51">
        <v>1.75</v>
      </c>
      <c r="G5" s="51">
        <v>2</v>
      </c>
      <c r="H5" s="51">
        <v>2.25</v>
      </c>
      <c r="I5" s="48">
        <v>0</v>
      </c>
      <c r="J5" s="3"/>
      <c r="K5" s="14"/>
    </row>
    <row r="6" spans="1:11" ht="13.5" thickBot="1">
      <c r="A6" s="65" t="s">
        <v>8</v>
      </c>
      <c r="B6" s="78"/>
      <c r="C6" s="79"/>
      <c r="D6" s="37">
        <f aca="true" t="shared" si="0" ref="D6:I6">$E$3*D5</f>
        <v>5946.25</v>
      </c>
      <c r="E6" s="37">
        <f t="shared" si="0"/>
        <v>7135.5</v>
      </c>
      <c r="F6" s="37">
        <f t="shared" si="0"/>
        <v>8324.75</v>
      </c>
      <c r="G6" s="37">
        <f t="shared" si="0"/>
        <v>9514</v>
      </c>
      <c r="H6" s="37">
        <f t="shared" si="0"/>
        <v>10703.25</v>
      </c>
      <c r="I6" s="37">
        <f t="shared" si="0"/>
        <v>0</v>
      </c>
      <c r="J6" s="3"/>
      <c r="K6" s="14"/>
    </row>
    <row r="7" spans="1:15" ht="15.75" thickBot="1">
      <c r="A7" s="67"/>
      <c r="B7" s="68"/>
      <c r="C7" s="68"/>
      <c r="D7" s="23"/>
      <c r="E7" s="23"/>
      <c r="F7" s="23"/>
      <c r="G7" s="23"/>
      <c r="H7" s="23"/>
      <c r="I7" s="23"/>
      <c r="J7" s="3"/>
      <c r="K7" s="14"/>
      <c r="M7" s="210" t="s">
        <v>103</v>
      </c>
      <c r="N7" s="210"/>
      <c r="O7" s="210"/>
    </row>
    <row r="8" spans="1:15" ht="25.5" customHeight="1" thickBot="1">
      <c r="A8" s="228" t="s">
        <v>9</v>
      </c>
      <c r="B8" s="229"/>
      <c r="C8" s="230"/>
      <c r="D8" s="24"/>
      <c r="E8" s="24"/>
      <c r="F8" s="24"/>
      <c r="G8" s="24"/>
      <c r="H8" s="24"/>
      <c r="I8" s="24"/>
      <c r="J8" s="3"/>
      <c r="K8" s="14"/>
      <c r="M8" s="187" t="s">
        <v>95</v>
      </c>
      <c r="N8" s="187" t="s">
        <v>96</v>
      </c>
      <c r="O8" s="187" t="s">
        <v>97</v>
      </c>
    </row>
    <row r="9" spans="1:15" ht="12" customHeight="1">
      <c r="A9" s="69" t="s">
        <v>10</v>
      </c>
      <c r="B9" s="70"/>
      <c r="C9" s="70"/>
      <c r="D9" s="195">
        <v>572.355</v>
      </c>
      <c r="E9" s="195">
        <v>572.355</v>
      </c>
      <c r="F9" s="195">
        <v>572.355</v>
      </c>
      <c r="G9" s="195">
        <v>572.355</v>
      </c>
      <c r="H9" s="195">
        <v>572.355</v>
      </c>
      <c r="I9" s="31">
        <v>0</v>
      </c>
      <c r="J9" s="3"/>
      <c r="K9" s="14"/>
      <c r="M9" s="188">
        <f>D5</f>
        <v>1.25</v>
      </c>
      <c r="N9" s="188">
        <f>D25</f>
        <v>4994.987797877756</v>
      </c>
      <c r="O9" s="188">
        <f>D27</f>
        <v>2179.4378751247923</v>
      </c>
    </row>
    <row r="10" spans="1:15" ht="12" customHeight="1">
      <c r="A10" s="66" t="s">
        <v>11</v>
      </c>
      <c r="B10" s="71"/>
      <c r="C10" s="71"/>
      <c r="D10" s="196">
        <v>711.125</v>
      </c>
      <c r="E10" s="196">
        <v>831.55</v>
      </c>
      <c r="F10" s="196">
        <v>951.9749999999999</v>
      </c>
      <c r="G10" s="196">
        <v>1072.4</v>
      </c>
      <c r="H10" s="196">
        <v>1192.8249999999998</v>
      </c>
      <c r="I10" s="32">
        <v>0</v>
      </c>
      <c r="J10" s="3"/>
      <c r="K10" s="14"/>
      <c r="M10" s="188">
        <f>E5</f>
        <v>1.5</v>
      </c>
      <c r="N10" s="188">
        <f>E25</f>
        <v>5289.9553099103</v>
      </c>
      <c r="O10" s="188">
        <f>E27</f>
        <v>2179.4378751247923</v>
      </c>
    </row>
    <row r="11" spans="1:15" ht="12" customHeight="1">
      <c r="A11" s="66" t="s">
        <v>12</v>
      </c>
      <c r="B11" s="71"/>
      <c r="C11" s="71"/>
      <c r="D11" s="196">
        <v>185.31450000000004</v>
      </c>
      <c r="E11" s="196">
        <v>185.31450000000004</v>
      </c>
      <c r="F11" s="196">
        <v>185.31450000000004</v>
      </c>
      <c r="G11" s="196">
        <v>185.31450000000004</v>
      </c>
      <c r="H11" s="196">
        <v>185.31450000000004</v>
      </c>
      <c r="I11" s="32">
        <v>0</v>
      </c>
      <c r="J11" s="3"/>
      <c r="K11" s="14"/>
      <c r="M11" s="188">
        <f>F5</f>
        <v>1.75</v>
      </c>
      <c r="N11" s="188">
        <f>F25</f>
        <v>5584.922821942847</v>
      </c>
      <c r="O11" s="188">
        <f>F27</f>
        <v>2179.4378751247923</v>
      </c>
    </row>
    <row r="12" spans="1:15" ht="12" customHeight="1">
      <c r="A12" s="66" t="s">
        <v>13</v>
      </c>
      <c r="B12" s="71"/>
      <c r="C12" s="71"/>
      <c r="D12" s="196">
        <v>848.0732879537861</v>
      </c>
      <c r="E12" s="196">
        <v>858.482843648418</v>
      </c>
      <c r="F12" s="196">
        <v>868.8923993430499</v>
      </c>
      <c r="G12" s="196">
        <v>879.3019550376819</v>
      </c>
      <c r="H12" s="196">
        <v>889.7115107323139</v>
      </c>
      <c r="I12" s="32">
        <v>0</v>
      </c>
      <c r="J12" s="3"/>
      <c r="K12" s="14"/>
      <c r="M12" s="188">
        <f>G5</f>
        <v>2</v>
      </c>
      <c r="N12" s="188">
        <f>G25</f>
        <v>5879.890333975393</v>
      </c>
      <c r="O12" s="188">
        <f>G27</f>
        <v>2179.4378751247923</v>
      </c>
    </row>
    <row r="13" spans="1:15" ht="12" customHeight="1">
      <c r="A13" s="66" t="s">
        <v>14</v>
      </c>
      <c r="B13" s="71"/>
      <c r="C13" s="71"/>
      <c r="D13" s="196">
        <v>682.2228</v>
      </c>
      <c r="E13" s="196">
        <v>683.7553</v>
      </c>
      <c r="F13" s="196">
        <v>685.2878000000001</v>
      </c>
      <c r="G13" s="196">
        <v>686.8203000000001</v>
      </c>
      <c r="H13" s="196">
        <v>688.3528</v>
      </c>
      <c r="I13" s="32">
        <v>0</v>
      </c>
      <c r="J13" s="3"/>
      <c r="K13" s="14"/>
      <c r="M13" s="188">
        <f>H5</f>
        <v>2.25</v>
      </c>
      <c r="N13" s="188">
        <f>H25</f>
        <v>6174.857846007938</v>
      </c>
      <c r="O13" s="188">
        <f>H27</f>
        <v>2179.4378751247923</v>
      </c>
    </row>
    <row r="14" spans="1:15" ht="12" customHeight="1">
      <c r="A14" s="66" t="s">
        <v>15</v>
      </c>
      <c r="B14" s="71"/>
      <c r="C14" s="71"/>
      <c r="D14" s="196">
        <v>268.40000000000003</v>
      </c>
      <c r="E14" s="196">
        <v>268.40000000000003</v>
      </c>
      <c r="F14" s="196">
        <v>268.40000000000003</v>
      </c>
      <c r="G14" s="196">
        <v>268.40000000000003</v>
      </c>
      <c r="H14" s="196">
        <v>268.40000000000003</v>
      </c>
      <c r="I14" s="32">
        <v>0</v>
      </c>
      <c r="J14" s="3"/>
      <c r="K14" s="14"/>
      <c r="M14" s="188">
        <f>I5</f>
        <v>0</v>
      </c>
      <c r="N14" s="188">
        <f>I25</f>
        <v>0</v>
      </c>
      <c r="O14" s="188">
        <f>I27</f>
        <v>0</v>
      </c>
    </row>
    <row r="15" spans="1:11" ht="12" customHeight="1">
      <c r="A15" s="66" t="s">
        <v>16</v>
      </c>
      <c r="B15" s="71"/>
      <c r="C15" s="71"/>
      <c r="D15" s="196">
        <v>408.1000000000001</v>
      </c>
      <c r="E15" s="196">
        <v>408.1000000000001</v>
      </c>
      <c r="F15" s="196">
        <v>408.1000000000001</v>
      </c>
      <c r="G15" s="196">
        <v>408.1000000000001</v>
      </c>
      <c r="H15" s="196">
        <v>408.1000000000001</v>
      </c>
      <c r="I15" s="32">
        <v>0</v>
      </c>
      <c r="J15" s="3"/>
      <c r="K15" s="14"/>
    </row>
    <row r="16" spans="1:11" ht="12" customHeight="1">
      <c r="A16" s="66" t="s">
        <v>17</v>
      </c>
      <c r="B16" s="71"/>
      <c r="C16" s="71"/>
      <c r="D16" s="196">
        <v>115.951875</v>
      </c>
      <c r="E16" s="196">
        <v>139.14225</v>
      </c>
      <c r="F16" s="196">
        <v>162.332625</v>
      </c>
      <c r="G16" s="196">
        <v>185.523</v>
      </c>
      <c r="H16" s="196">
        <v>208.713375</v>
      </c>
      <c r="I16" s="32">
        <v>0</v>
      </c>
      <c r="J16" s="3"/>
      <c r="K16" s="14"/>
    </row>
    <row r="17" spans="1:11" ht="12" customHeight="1">
      <c r="A17" s="66" t="s">
        <v>18</v>
      </c>
      <c r="B17" s="71"/>
      <c r="C17" s="71"/>
      <c r="D17" s="196">
        <v>299.12667398469864</v>
      </c>
      <c r="E17" s="196">
        <v>316.7909114920104</v>
      </c>
      <c r="F17" s="196">
        <v>334.45514899932226</v>
      </c>
      <c r="G17" s="196">
        <v>352.11938650663404</v>
      </c>
      <c r="H17" s="196">
        <v>369.7836240139458</v>
      </c>
      <c r="I17" s="32">
        <v>0</v>
      </c>
      <c r="J17" s="3"/>
      <c r="K17" s="14"/>
    </row>
    <row r="18" spans="1:11" ht="12" customHeight="1">
      <c r="A18" s="66" t="s">
        <v>19</v>
      </c>
      <c r="B18" s="71"/>
      <c r="C18" s="71"/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32">
        <v>0</v>
      </c>
      <c r="J18" s="3"/>
      <c r="K18" s="14"/>
    </row>
    <row r="19" spans="1:11" ht="12" customHeight="1">
      <c r="A19" s="66" t="s">
        <v>20</v>
      </c>
      <c r="B19" s="71"/>
      <c r="C19" s="71"/>
      <c r="D19" s="196">
        <v>535.1625</v>
      </c>
      <c r="E19" s="196">
        <v>642.1949999999999</v>
      </c>
      <c r="F19" s="196">
        <v>749.2275</v>
      </c>
      <c r="G19" s="196">
        <v>856.26</v>
      </c>
      <c r="H19" s="196">
        <v>963.2925</v>
      </c>
      <c r="I19" s="32">
        <v>0</v>
      </c>
      <c r="J19" s="3"/>
      <c r="K19" s="14"/>
    </row>
    <row r="20" spans="1:11" ht="12" customHeight="1">
      <c r="A20" s="66" t="s">
        <v>21</v>
      </c>
      <c r="B20" s="71"/>
      <c r="C20" s="71"/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32">
        <v>0</v>
      </c>
      <c r="J20" s="3"/>
      <c r="K20" s="14"/>
    </row>
    <row r="21" spans="1:11" ht="12" customHeight="1">
      <c r="A21" s="66" t="s">
        <v>22</v>
      </c>
      <c r="B21" s="71"/>
      <c r="C21" s="71"/>
      <c r="D21" s="196">
        <v>120</v>
      </c>
      <c r="E21" s="196">
        <v>120</v>
      </c>
      <c r="F21" s="196">
        <v>120</v>
      </c>
      <c r="G21" s="196">
        <v>120</v>
      </c>
      <c r="H21" s="196">
        <v>120</v>
      </c>
      <c r="I21" s="32">
        <v>0</v>
      </c>
      <c r="J21" s="3"/>
      <c r="K21" s="14"/>
    </row>
    <row r="22" spans="1:11" ht="12" customHeight="1">
      <c r="A22" s="66" t="s">
        <v>23</v>
      </c>
      <c r="B22" s="71"/>
      <c r="C22" s="71"/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32">
        <v>0</v>
      </c>
      <c r="J22" s="3"/>
      <c r="K22" s="14"/>
    </row>
    <row r="23" spans="1:11" ht="12.75">
      <c r="A23" s="66" t="s">
        <v>24</v>
      </c>
      <c r="B23" s="71"/>
      <c r="C23" s="71"/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32">
        <v>0</v>
      </c>
      <c r="J23" s="3"/>
      <c r="K23" s="14"/>
    </row>
    <row r="24" spans="1:11" ht="13.5" thickBot="1">
      <c r="A24" s="66" t="s">
        <v>25</v>
      </c>
      <c r="B24" s="71"/>
      <c r="C24" s="71"/>
      <c r="D24" s="196">
        <v>249.15616093927045</v>
      </c>
      <c r="E24" s="196">
        <v>263.8695047698725</v>
      </c>
      <c r="F24" s="196">
        <v>278.5828486004745</v>
      </c>
      <c r="G24" s="196">
        <v>293.29619243107663</v>
      </c>
      <c r="H24" s="196">
        <v>308.0095362616786</v>
      </c>
      <c r="I24" s="32">
        <v>0</v>
      </c>
      <c r="J24" s="3"/>
      <c r="K24" s="14"/>
    </row>
    <row r="25" spans="1:11" ht="27.75" customHeight="1" thickBot="1">
      <c r="A25" s="207" t="s">
        <v>26</v>
      </c>
      <c r="B25" s="208"/>
      <c r="C25" s="209"/>
      <c r="D25" s="33">
        <f>SUM(D9:D24)</f>
        <v>4994.987797877756</v>
      </c>
      <c r="E25" s="33">
        <f>SUM(E9:E24)</f>
        <v>5289.9553099103</v>
      </c>
      <c r="F25" s="33">
        <f>SUM(F9:F24)</f>
        <v>5584.922821942847</v>
      </c>
      <c r="G25" s="33">
        <f>SUM(G9:G24)</f>
        <v>5879.890333975393</v>
      </c>
      <c r="H25" s="33">
        <f>SUM(H9:H24)</f>
        <v>6174.857846007938</v>
      </c>
      <c r="I25" s="33">
        <v>0</v>
      </c>
      <c r="J25" s="3"/>
      <c r="K25" s="14"/>
    </row>
    <row r="26" spans="1:11" ht="13.5" thickBot="1">
      <c r="A26" s="72"/>
      <c r="B26" s="73"/>
      <c r="C26" s="73"/>
      <c r="D26" s="34"/>
      <c r="E26" s="34"/>
      <c r="F26" s="34"/>
      <c r="G26" s="34"/>
      <c r="H26" s="34"/>
      <c r="I26" s="34"/>
      <c r="J26" s="3"/>
      <c r="K26" s="14"/>
    </row>
    <row r="27" spans="1:11" ht="13.5" thickBot="1">
      <c r="A27" s="231" t="s">
        <v>27</v>
      </c>
      <c r="B27" s="232"/>
      <c r="C27" s="233"/>
      <c r="D27" s="197">
        <v>2179.4378751247923</v>
      </c>
      <c r="E27" s="197">
        <v>2179.4378751247923</v>
      </c>
      <c r="F27" s="197">
        <v>2179.4378751247923</v>
      </c>
      <c r="G27" s="197">
        <v>2179.4378751247923</v>
      </c>
      <c r="H27" s="197">
        <v>2179.4378751247923</v>
      </c>
      <c r="I27" s="33">
        <v>0</v>
      </c>
      <c r="J27" s="27"/>
      <c r="K27" s="14"/>
    </row>
    <row r="28" spans="1:11" ht="13.5" thickBot="1">
      <c r="A28" s="72"/>
      <c r="B28" s="73"/>
      <c r="C28" s="73"/>
      <c r="D28" s="34"/>
      <c r="E28" s="34"/>
      <c r="F28" s="34"/>
      <c r="G28" s="34"/>
      <c r="H28" s="34"/>
      <c r="I28" s="34"/>
      <c r="J28" s="3"/>
      <c r="K28" s="14"/>
    </row>
    <row r="29" spans="1:11" ht="26.25" customHeight="1" thickBot="1">
      <c r="A29" s="207" t="s">
        <v>28</v>
      </c>
      <c r="B29" s="208"/>
      <c r="C29" s="209"/>
      <c r="D29" s="33">
        <f>D25+D27</f>
        <v>7174.425673002548</v>
      </c>
      <c r="E29" s="33">
        <f>E25+E27</f>
        <v>7469.393185035092</v>
      </c>
      <c r="F29" s="33">
        <f>F25+F27</f>
        <v>7764.360697067639</v>
      </c>
      <c r="G29" s="33">
        <f>G25+G27</f>
        <v>8059.328209100186</v>
      </c>
      <c r="H29" s="33">
        <f>H25+H27</f>
        <v>8354.29572113273</v>
      </c>
      <c r="I29" s="33">
        <v>0</v>
      </c>
      <c r="J29" s="3"/>
      <c r="K29" s="3"/>
    </row>
    <row r="30" spans="1:11" ht="13.5" thickBot="1">
      <c r="A30" s="67"/>
      <c r="B30" s="68"/>
      <c r="C30" s="68"/>
      <c r="D30" s="36"/>
      <c r="E30" s="36"/>
      <c r="F30" s="36"/>
      <c r="G30" s="36"/>
      <c r="H30" s="36"/>
      <c r="I30" s="36"/>
      <c r="J30" s="3"/>
      <c r="K30" s="3"/>
    </row>
    <row r="31" spans="1:11" ht="28.5" customHeight="1" thickBot="1">
      <c r="A31" s="207" t="s">
        <v>29</v>
      </c>
      <c r="B31" s="223"/>
      <c r="C31" s="224"/>
      <c r="D31" s="33">
        <f>D29/D5</f>
        <v>5739.540538402039</v>
      </c>
      <c r="E31" s="33">
        <f>E29/E5</f>
        <v>4979.595456690061</v>
      </c>
      <c r="F31" s="33">
        <f>F29/F5</f>
        <v>4436.777541181508</v>
      </c>
      <c r="G31" s="33">
        <f>G29/G5</f>
        <v>4029.664104550093</v>
      </c>
      <c r="H31" s="33">
        <f>H29/H5</f>
        <v>3713.020320503436</v>
      </c>
      <c r="I31" s="33">
        <v>0</v>
      </c>
      <c r="J31" s="3"/>
      <c r="K31" s="3"/>
    </row>
    <row r="32" spans="1:11" ht="13.5" thickBot="1">
      <c r="A32" s="67"/>
      <c r="B32" s="68"/>
      <c r="C32" s="68"/>
      <c r="D32" s="36"/>
      <c r="E32" s="36"/>
      <c r="F32" s="36"/>
      <c r="G32" s="36"/>
      <c r="H32" s="36"/>
      <c r="I32" s="36"/>
      <c r="J32" s="3"/>
      <c r="K32" s="14"/>
    </row>
    <row r="33" spans="1:11" ht="13.5" thickBot="1">
      <c r="A33" s="65" t="s">
        <v>30</v>
      </c>
      <c r="B33" s="78"/>
      <c r="C33" s="78"/>
      <c r="D33" s="33">
        <f>'Pryse + Sensatiwiteitsanali'!D6</f>
        <v>63</v>
      </c>
      <c r="E33" s="33">
        <f>$D$33</f>
        <v>63</v>
      </c>
      <c r="F33" s="33">
        <f>$D$33</f>
        <v>63</v>
      </c>
      <c r="G33" s="33">
        <f>$D$33</f>
        <v>63</v>
      </c>
      <c r="H33" s="33">
        <f>$D$33</f>
        <v>63</v>
      </c>
      <c r="I33" s="33">
        <v>0</v>
      </c>
      <c r="J33" s="3"/>
      <c r="K33" s="14"/>
    </row>
    <row r="34" spans="1:11" ht="13.5" thickBot="1">
      <c r="A34" s="67"/>
      <c r="B34" s="68"/>
      <c r="C34" s="68"/>
      <c r="D34" s="36"/>
      <c r="E34" s="36"/>
      <c r="F34" s="36"/>
      <c r="G34" s="36"/>
      <c r="H34" s="36"/>
      <c r="I34" s="36"/>
      <c r="J34" s="3"/>
      <c r="K34" s="14"/>
    </row>
    <row r="35" spans="1:11" ht="26.25" customHeight="1" thickBot="1">
      <c r="A35" s="234" t="s">
        <v>31</v>
      </c>
      <c r="B35" s="223"/>
      <c r="C35" s="224"/>
      <c r="D35" s="35">
        <f>D31+D33</f>
        <v>5802.540538402039</v>
      </c>
      <c r="E35" s="35">
        <f>E31+E33</f>
        <v>5042.595456690061</v>
      </c>
      <c r="F35" s="35">
        <f>F31+F33</f>
        <v>4499.777541181508</v>
      </c>
      <c r="G35" s="35">
        <f>G31+G33</f>
        <v>4092.664104550093</v>
      </c>
      <c r="H35" s="35">
        <f>H31+H33</f>
        <v>3776.020320503436</v>
      </c>
      <c r="I35" s="35">
        <v>0</v>
      </c>
      <c r="J35" s="3"/>
      <c r="K35" s="14"/>
    </row>
    <row r="36" spans="1:11" ht="13.5" thickBot="1">
      <c r="A36" s="74" t="s">
        <v>32</v>
      </c>
      <c r="B36" s="75"/>
      <c r="C36" s="76"/>
      <c r="D36" s="35">
        <f>'Pryse + Sensatiwiteitsanali'!B6</f>
        <v>4820</v>
      </c>
      <c r="E36" s="35">
        <f>$D$36</f>
        <v>4820</v>
      </c>
      <c r="F36" s="35">
        <f>$D$36</f>
        <v>4820</v>
      </c>
      <c r="G36" s="35">
        <f>$D$36</f>
        <v>4820</v>
      </c>
      <c r="H36" s="35">
        <f>$D$36</f>
        <v>4820</v>
      </c>
      <c r="I36" s="35">
        <v>0</v>
      </c>
      <c r="J36" s="14"/>
      <c r="K36" s="3"/>
    </row>
    <row r="37" spans="1:10" ht="15">
      <c r="A37" s="81" t="s">
        <v>37</v>
      </c>
      <c r="B37" s="82"/>
      <c r="C37" s="82"/>
      <c r="D37" s="82"/>
      <c r="E37" s="82"/>
      <c r="F37" s="82"/>
      <c r="G37" s="82"/>
      <c r="H37" s="83"/>
      <c r="I37" s="80"/>
      <c r="J37" s="80"/>
    </row>
    <row r="38" spans="1:10" ht="15">
      <c r="A38" s="84" t="s">
        <v>38</v>
      </c>
      <c r="B38" s="85"/>
      <c r="C38" s="85"/>
      <c r="D38" s="85"/>
      <c r="E38" s="85"/>
      <c r="F38" s="85"/>
      <c r="G38" s="85"/>
      <c r="H38" s="86"/>
      <c r="I38" s="80"/>
      <c r="J38" s="80"/>
    </row>
    <row r="39" spans="1:10" ht="15.75" thickBot="1">
      <c r="A39" s="87" t="s">
        <v>39</v>
      </c>
      <c r="B39" s="88"/>
      <c r="C39" s="88"/>
      <c r="D39" s="88"/>
      <c r="E39" s="88"/>
      <c r="F39" s="88"/>
      <c r="G39" s="88"/>
      <c r="H39" s="89"/>
      <c r="I39" s="80"/>
      <c r="J39" s="80"/>
    </row>
    <row r="81" ht="12.75"/>
    <row r="82" ht="12.75"/>
    <row r="83" ht="12.75"/>
    <row r="84" ht="12.75"/>
    <row r="85" ht="12.75"/>
    <row r="86" ht="12.75"/>
  </sheetData>
  <sheetProtection/>
  <mergeCells count="10">
    <mergeCell ref="M7:O7"/>
    <mergeCell ref="A1:D1"/>
    <mergeCell ref="E1:G1"/>
    <mergeCell ref="A31:C31"/>
    <mergeCell ref="A35:C35"/>
    <mergeCell ref="A3:C3"/>
    <mergeCell ref="A8:C8"/>
    <mergeCell ref="A25:C25"/>
    <mergeCell ref="A27:C27"/>
    <mergeCell ref="A29:C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2"/>
  <headerFooter>
    <oddHeader>&amp;C&amp;F</oddHead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Petru Fourie</cp:lastModifiedBy>
  <cp:lastPrinted>2017-07-31T12:10:53Z</cp:lastPrinted>
  <dcterms:created xsi:type="dcterms:W3CDTF">2007-01-09T12:07:13Z</dcterms:created>
  <dcterms:modified xsi:type="dcterms:W3CDTF">2017-10-03T08:39:12Z</dcterms:modified>
  <cp:category/>
  <cp:version/>
  <cp:contentType/>
  <cp:contentStatus/>
</cp:coreProperties>
</file>