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2" windowWidth="11352" windowHeight="5532" tabRatio="888" activeTab="0"/>
  </bookViews>
  <sheets>
    <sheet name="Pryse + Sensatiwiteitsanalise" sheetId="1" r:id="rId1"/>
    <sheet name="Bes-mielies" sheetId="2" r:id="rId2"/>
    <sheet name="Bes-Sonneblom" sheetId="3" r:id="rId3"/>
    <sheet name="Bes-soja" sheetId="4" r:id="rId4"/>
    <sheet name="Bes- Sorghum" sheetId="5" r:id="rId5"/>
  </sheets>
  <definedNames>
    <definedName name="Opbrengspeil">'Bes-mielies'!$Z$9:$Z$14</definedName>
    <definedName name="_xlnm.Print_Area" localSheetId="4">'Bes- Sorghum'!$A$1:$I$40</definedName>
    <definedName name="_xlnm.Print_Area" localSheetId="1">'Bes-mielies'!$A$1:$I$44</definedName>
    <definedName name="_xlnm.Print_Area" localSheetId="3">'Bes-soja'!$A$1:$I$40</definedName>
    <definedName name="_xlnm.Print_Area" localSheetId="2">'Bes-Sonneblom'!$A$1:$I$40</definedName>
    <definedName name="Sojaopbrengspeil">'Bes-soja'!$Z$9:$Z$14</definedName>
    <definedName name="Sonopbrengspeil">'Bes-Sonneblom'!$Z$9:$Z$12</definedName>
    <definedName name="Sorgopbrengspeil">'Bes- Sorghum'!$Z$9:$Z$14</definedName>
  </definedNames>
  <calcPr fullCalcOnLoad="1"/>
</workbook>
</file>

<file path=xl/comments1.xml><?xml version="1.0" encoding="utf-8"?>
<comments xmlns="http://schemas.openxmlformats.org/spreadsheetml/2006/main">
  <authors>
    <author>Petru Fourie</author>
  </authors>
  <commentList>
    <comment ref="D3" authorId="0">
      <text>
        <r>
          <rPr>
            <b/>
            <sz val="9"/>
            <rFont val="Tahoma"/>
            <family val="2"/>
          </rPr>
          <t>Petru Fourie:</t>
        </r>
        <r>
          <rPr>
            <sz val="9"/>
            <rFont val="Tahoma"/>
            <family val="2"/>
          </rPr>
          <t xml:space="preserve">
Include location diff, marketing cost etc</t>
        </r>
      </text>
    </comment>
  </commentList>
</comments>
</file>

<file path=xl/sharedStrings.xml><?xml version="1.0" encoding="utf-8"?>
<sst xmlns="http://schemas.openxmlformats.org/spreadsheetml/2006/main" count="238" uniqueCount="83">
  <si>
    <t>Rand/ton</t>
  </si>
  <si>
    <t>SAFEX pryse (R/ton)</t>
  </si>
  <si>
    <t>MIELIES: SENSATIWITIETSANALISE - TOTALE KOSTES ( DIREKTE KOSTE + VASTE KOSTE)</t>
  </si>
  <si>
    <t>MIELIES: SENSATIWITIETSANALISE - DIREKTE KOSTE</t>
  </si>
  <si>
    <t>Lopendekoste / Variable cost (R/ha)</t>
  </si>
  <si>
    <t>Huidig</t>
  </si>
  <si>
    <t>Oorhoofse koste / Overhead cost (R/ha)</t>
  </si>
  <si>
    <t>SAFEX prys / price(R/ton)</t>
  </si>
  <si>
    <t>Totale Koste / Total cost (R/ha)</t>
  </si>
  <si>
    <t>Produsenteprys/ Producer price</t>
  </si>
  <si>
    <t>Opbrengs / Yield (t/ha)</t>
  </si>
  <si>
    <t>Gemid Opbrengs / Average Yield (t/ha)</t>
  </si>
  <si>
    <t>SAFEX Jul'17 WM 1 prys/price  (R/ton)</t>
  </si>
  <si>
    <t xml:space="preserve">Aftrekkings / Deductions </t>
  </si>
  <si>
    <t>Produsenteprys/ Producer price (R/ton)</t>
  </si>
  <si>
    <t>SONNEBLOM: SENSATIWITIETSANALISE - TOTALE KOSTES ( DIREKTE KOSTE + VASTE KOSTE)</t>
  </si>
  <si>
    <t>SONNEBLOM: SENSATIWITIETSANALISE - DIREKTE KOSTE</t>
  </si>
  <si>
    <t>SOJABONE: SENSATIWITIETSANALISE - TOTALE KOSTES ( DIREKTE KOSTE + VASTE KOSTE)</t>
  </si>
  <si>
    <t>SOJABONE: SENSATIWITIETSANALISE - DIREKTE KOSTE</t>
  </si>
  <si>
    <t>Huidige</t>
  </si>
  <si>
    <t>SAFEX Mei'17Soy prys/price  (R/ton)</t>
  </si>
  <si>
    <t>SORGHUM</t>
  </si>
  <si>
    <t>SORGHUM: SENSATIWITIETSANALISE - TOTALE KOSTES ( DIREKTE KOSTE + VASTE KOSTE)</t>
  </si>
  <si>
    <t>SORGHUM: SENSATIWITIETSANALISE - DIREKTE KOSTE</t>
  </si>
  <si>
    <t>Produsent prys raming vir BESPROEIING MIELIES vir die                                                           Producer price framework for IRRIGATION MAIZE for the</t>
  </si>
  <si>
    <t>Huidige Produkprys op plaas vir beste graad / Current product price for the best grade (R/TON) (Safex min bemarkingskoste/marketing cost)</t>
  </si>
  <si>
    <t>Beplanningsopbrengs / Estimated yields (ton/ha)</t>
  </si>
  <si>
    <t>Bruto produksiewaarde / Gross production value (R/ha)</t>
  </si>
  <si>
    <t>Direk Toedeelbare veranderlike koste / Direct Allocated Variable costs (R/ha)</t>
  </si>
  <si>
    <t>Saad / Seed</t>
  </si>
  <si>
    <t>Kunsmis / Fertiliser</t>
  </si>
  <si>
    <t>Kalk / Lime</t>
  </si>
  <si>
    <t>Brandstof / Fuel</t>
  </si>
  <si>
    <t>Reparasie / Reparation</t>
  </si>
  <si>
    <t>Onkruiddoders / Herbicide</t>
  </si>
  <si>
    <t>Plaagdoder / Pest control</t>
  </si>
  <si>
    <t>Insetversekering / Input insurance</t>
  </si>
  <si>
    <t>Besproeiingskoste / Irrigation cost</t>
  </si>
  <si>
    <t>Graanprysverskansing / Grain hedging</t>
  </si>
  <si>
    <t>Kontrakstroop / Contract Harvesting</t>
  </si>
  <si>
    <t>Oesversekering / Harvest insurance</t>
  </si>
  <si>
    <t>Lugspuit / Aerial spray</t>
  </si>
  <si>
    <t>Losarbeid / Casual labour</t>
  </si>
  <si>
    <t>Droogkoste / Drying cost</t>
  </si>
  <si>
    <t>Verpakking en Pakmateriaal / Packaging and packaging material</t>
  </si>
  <si>
    <t>Produksiekrediet rente / Interest on production R/ha</t>
  </si>
  <si>
    <t>Totale Direk Toedeelbare veranderlike koste / Total Direct Allocated Variable Cost  (R/ha)</t>
  </si>
  <si>
    <t>Totale Oorhoofse koste / Total overhead cost R/ha</t>
  </si>
  <si>
    <t>Totale Koste per ha voor fisiese bemarking R/ha / Total cost per ha before marketing cost R/ha</t>
  </si>
  <si>
    <t>Totale koste per ton voor fisiese bemarking R/Ton / Total cost per ton before marketing cost R/Ton</t>
  </si>
  <si>
    <t>Totale bemarkingskoste / Total marketing cost R/ton</t>
  </si>
  <si>
    <t>Verwagte minimum Safex prys SONDER wins/ Expected minimum Safex price, WITHOUT profit</t>
  </si>
  <si>
    <t>Huidige Safex prys / Current Safex price</t>
  </si>
  <si>
    <t>Produsent prys raming vir BESPROEIING SOJABONE vir die  /                                             Producer price framework for IRRIGATION SOYBEANS for the</t>
  </si>
  <si>
    <t>Produsent prys raming vir BESPROEIING GRAANSORGHUM vir die  /                                             Producer price framework for IRRIGATION GRAIN SORGHUM for the</t>
  </si>
  <si>
    <t>Produsent prys raming vir BESPROEIING SONNEBLOM vir die                                                   / Producer price framework for IRRIGATION SUNFLOWER for the</t>
  </si>
  <si>
    <r>
      <t>Disclaimer:</t>
    </r>
    <r>
      <rPr>
        <sz val="11"/>
        <rFont val="Calibri"/>
        <family val="2"/>
      </rPr>
      <t xml:space="preserve"> The information herein has been obtained from various sources, the accuracy and/or completeness of which Grain SA does not</t>
    </r>
  </si>
  <si>
    <t>guarantee and for which Grain SA accepts no liability. Any prices or levels contained herein are preliminary and indicative only and do not</t>
  </si>
  <si>
    <t>represent bids or offers. These indications are provided solely for your information and consideration.</t>
  </si>
  <si>
    <t xml:space="preserve">                                        Thank you to the Maize Trust for partially funding this project</t>
  </si>
  <si>
    <t>Datum opgedateer / Date updated</t>
  </si>
  <si>
    <t>Gewas / Crop</t>
  </si>
  <si>
    <t>Total deductions (R/ton)</t>
  </si>
  <si>
    <t>Limpopo</t>
  </si>
  <si>
    <t>MIELIES / MAIZE</t>
  </si>
  <si>
    <t>SONNEBLOM / SUNFLOWER</t>
  </si>
  <si>
    <t>SOJABONE / SOYBEANS</t>
  </si>
  <si>
    <t>Graansorghum / Grain sorghum</t>
  </si>
  <si>
    <t>Opbrengspeil</t>
  </si>
  <si>
    <t>Lopende koste</t>
  </si>
  <si>
    <t>Oorhoofse koste</t>
  </si>
  <si>
    <t>Mielies</t>
  </si>
  <si>
    <t>Sonneblom</t>
  </si>
  <si>
    <t>Soja</t>
  </si>
  <si>
    <t>Sorghum</t>
  </si>
  <si>
    <t>Mielies / Maize- Jul 18</t>
  </si>
  <si>
    <t>Sonneblom / Sunflower- Mei 18</t>
  </si>
  <si>
    <t>Sojabone / Soybeans- Mei 18</t>
  </si>
  <si>
    <t>Mielies / Maize - 2017/18</t>
  </si>
  <si>
    <t>Sonneblom / Sunflower - 2017/18</t>
  </si>
  <si>
    <t>Sojabone Soyabean - 2017/18</t>
  </si>
  <si>
    <t>Sorghum - 2017/18</t>
  </si>
  <si>
    <t>PRODUKSIEJAAR   2017-18          PRODUCTION YEAR 2017-18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</si>
</sst>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_)"/>
    <numFmt numFmtId="175" formatCode="0_)"/>
    <numFmt numFmtId="176" formatCode="0.0"/>
    <numFmt numFmtId="177" formatCode="_ * #,##0_ ;_ * \-#,##0_ ;_ * &quot;-&quot;??_ ;_ @_ "/>
    <numFmt numFmtId="178" formatCode="&quot;R&quot;\ #,##0"/>
    <numFmt numFmtId="179" formatCode="&quot;R&quot;\ 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6FDB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1" fillId="34" borderId="10" xfId="0" applyFont="1" applyFill="1" applyBorder="1" applyAlignment="1" applyProtection="1">
      <alignment horizontal="left"/>
      <protection hidden="1"/>
    </xf>
    <xf numFmtId="0" fontId="0" fillId="34" borderId="12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Continuous"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175" fontId="1" fillId="35" borderId="13" xfId="0" applyNumberFormat="1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centerContinuous"/>
      <protection hidden="1"/>
    </xf>
    <xf numFmtId="0" fontId="0" fillId="0" borderId="14" xfId="0" applyFont="1" applyFill="1" applyBorder="1" applyAlignment="1" applyProtection="1">
      <alignment/>
      <protection hidden="1"/>
    </xf>
    <xf numFmtId="173" fontId="0" fillId="0" borderId="0" xfId="0" applyNumberFormat="1" applyFont="1" applyBorder="1" applyAlignment="1" applyProtection="1">
      <alignment/>
      <protection hidden="1"/>
    </xf>
    <xf numFmtId="173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0" fontId="4" fillId="0" borderId="14" xfId="0" applyFont="1" applyFill="1" applyBorder="1" applyAlignment="1" applyProtection="1">
      <alignment horizontal="left"/>
      <protection hidden="1"/>
    </xf>
    <xf numFmtId="0" fontId="5" fillId="0" borderId="14" xfId="0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1" fillId="36" borderId="13" xfId="0" applyFont="1" applyFill="1" applyBorder="1" applyAlignment="1" applyProtection="1">
      <alignment/>
      <protection hidden="1"/>
    </xf>
    <xf numFmtId="174" fontId="1" fillId="36" borderId="13" xfId="0" applyNumberFormat="1" applyFont="1" applyFill="1" applyBorder="1" applyAlignment="1" applyProtection="1">
      <alignment/>
      <protection hidden="1"/>
    </xf>
    <xf numFmtId="175" fontId="1" fillId="36" borderId="13" xfId="0" applyNumberFormat="1" applyFont="1" applyFill="1" applyBorder="1" applyAlignment="1" applyProtection="1">
      <alignment horizontal="right"/>
      <protection hidden="1"/>
    </xf>
    <xf numFmtId="0" fontId="0" fillId="34" borderId="13" xfId="0" applyFont="1" applyFill="1" applyBorder="1" applyAlignment="1" applyProtection="1">
      <alignment/>
      <protection hidden="1"/>
    </xf>
    <xf numFmtId="173" fontId="1" fillId="0" borderId="0" xfId="0" applyNumberFormat="1" applyFont="1" applyBorder="1" applyAlignment="1" applyProtection="1">
      <alignment/>
      <protection hidden="1"/>
    </xf>
    <xf numFmtId="43" fontId="1" fillId="0" borderId="16" xfId="0" applyNumberFormat="1" applyFont="1" applyFill="1" applyBorder="1" applyAlignment="1" applyProtection="1">
      <alignment/>
      <protection hidden="1"/>
    </xf>
    <xf numFmtId="43" fontId="1" fillId="0" borderId="17" xfId="0" applyNumberFormat="1" applyFont="1" applyFill="1" applyBorder="1" applyAlignment="1" applyProtection="1">
      <alignment/>
      <protection hidden="1"/>
    </xf>
    <xf numFmtId="43" fontId="1" fillId="35" borderId="13" xfId="0" applyNumberFormat="1" applyFont="1" applyFill="1" applyBorder="1" applyAlignment="1" applyProtection="1">
      <alignment/>
      <protection hidden="1"/>
    </xf>
    <xf numFmtId="43" fontId="1" fillId="36" borderId="18" xfId="0" applyNumberFormat="1" applyFont="1" applyFill="1" applyBorder="1" applyAlignment="1" applyProtection="1">
      <alignment/>
      <protection hidden="1"/>
    </xf>
    <xf numFmtId="43" fontId="1" fillId="34" borderId="13" xfId="0" applyNumberFormat="1" applyFont="1" applyFill="1" applyBorder="1" applyAlignment="1" applyProtection="1">
      <alignment/>
      <protection hidden="1"/>
    </xf>
    <xf numFmtId="43" fontId="1" fillId="0" borderId="18" xfId="0" applyNumberFormat="1" applyFont="1" applyFill="1" applyBorder="1" applyAlignment="1" applyProtection="1">
      <alignment/>
      <protection hidden="1"/>
    </xf>
    <xf numFmtId="43" fontId="2" fillId="34" borderId="10" xfId="0" applyNumberFormat="1" applyFont="1" applyFill="1" applyBorder="1" applyAlignment="1" applyProtection="1">
      <alignment/>
      <protection hidden="1"/>
    </xf>
    <xf numFmtId="1" fontId="1" fillId="36" borderId="13" xfId="0" applyNumberFormat="1" applyFont="1" applyFill="1" applyBorder="1" applyAlignment="1" applyProtection="1">
      <alignment/>
      <protection hidden="1"/>
    </xf>
    <xf numFmtId="0" fontId="55" fillId="0" borderId="0" xfId="101" applyFont="1">
      <alignment/>
      <protection/>
    </xf>
    <xf numFmtId="0" fontId="0" fillId="0" borderId="0" xfId="101">
      <alignment/>
      <protection/>
    </xf>
    <xf numFmtId="0" fontId="4" fillId="0" borderId="0" xfId="101" applyFont="1">
      <alignment/>
      <protection/>
    </xf>
    <xf numFmtId="0" fontId="0" fillId="0" borderId="0" xfId="75">
      <alignment/>
      <protection/>
    </xf>
    <xf numFmtId="15" fontId="0" fillId="0" borderId="0" xfId="75" applyNumberFormat="1">
      <alignment/>
      <protection/>
    </xf>
    <xf numFmtId="0" fontId="0" fillId="0" borderId="0" xfId="75" applyFont="1" applyBorder="1">
      <alignment/>
      <protection/>
    </xf>
    <xf numFmtId="176" fontId="0" fillId="0" borderId="0" xfId="75" applyNumberFormat="1" applyFont="1" applyBorder="1" applyAlignment="1">
      <alignment horizontal="center"/>
      <protection/>
    </xf>
    <xf numFmtId="0" fontId="53" fillId="16" borderId="19" xfId="75" applyFont="1" applyFill="1" applyBorder="1">
      <alignment/>
      <protection/>
    </xf>
    <xf numFmtId="0" fontId="53" fillId="16" borderId="19" xfId="75" applyFont="1" applyFill="1" applyBorder="1" applyAlignment="1">
      <alignment horizontal="center"/>
      <protection/>
    </xf>
    <xf numFmtId="3" fontId="0" fillId="0" borderId="0" xfId="75" applyNumberFormat="1" applyFont="1" applyBorder="1">
      <alignment/>
      <protection/>
    </xf>
    <xf numFmtId="0" fontId="53" fillId="0" borderId="0" xfId="75" applyFont="1" applyFill="1" applyBorder="1">
      <alignment/>
      <protection/>
    </xf>
    <xf numFmtId="178" fontId="53" fillId="0" borderId="0" xfId="75" applyNumberFormat="1" applyFont="1" applyFill="1" applyBorder="1" applyAlignment="1">
      <alignment horizontal="center"/>
      <protection/>
    </xf>
    <xf numFmtId="0" fontId="0" fillId="0" borderId="0" xfId="101" applyFill="1">
      <alignment/>
      <protection/>
    </xf>
    <xf numFmtId="0" fontId="4" fillId="0" borderId="0" xfId="101" applyFont="1" applyFill="1">
      <alignment/>
      <protection/>
    </xf>
    <xf numFmtId="0" fontId="1" fillId="37" borderId="0" xfId="75" applyFont="1" applyFill="1" applyAlignment="1" applyProtection="1">
      <alignment/>
      <protection hidden="1"/>
    </xf>
    <xf numFmtId="0" fontId="4" fillId="0" borderId="20" xfId="101" applyFont="1" applyBorder="1">
      <alignment/>
      <protection/>
    </xf>
    <xf numFmtId="14" fontId="1" fillId="0" borderId="13" xfId="101" applyNumberFormat="1" applyFont="1" applyBorder="1">
      <alignment/>
      <protection/>
    </xf>
    <xf numFmtId="14" fontId="1" fillId="0" borderId="0" xfId="101" applyNumberFormat="1" applyFont="1" applyBorder="1">
      <alignment/>
      <protection/>
    </xf>
    <xf numFmtId="0" fontId="0" fillId="5" borderId="21" xfId="101" applyFont="1" applyFill="1" applyBorder="1" applyAlignment="1">
      <alignment horizontal="left" vertical="center"/>
      <protection/>
    </xf>
    <xf numFmtId="43" fontId="0" fillId="0" borderId="0" xfId="101" applyNumberFormat="1" applyBorder="1" applyAlignment="1">
      <alignment horizontal="center"/>
      <protection/>
    </xf>
    <xf numFmtId="0" fontId="0" fillId="0" borderId="20" xfId="101" applyFont="1" applyBorder="1" applyAlignment="1">
      <alignment horizontal="center" vertical="center" wrapText="1"/>
      <protection/>
    </xf>
    <xf numFmtId="0" fontId="0" fillId="0" borderId="10" xfId="101" applyFont="1" applyBorder="1" applyAlignment="1">
      <alignment horizontal="center" vertical="center" wrapText="1"/>
      <protection/>
    </xf>
    <xf numFmtId="0" fontId="56" fillId="36" borderId="13" xfId="101" applyFont="1" applyFill="1" applyBorder="1" applyAlignment="1">
      <alignment horizontal="center" vertical="center"/>
      <protection/>
    </xf>
    <xf numFmtId="0" fontId="57" fillId="36" borderId="13" xfId="101" applyFont="1" applyFill="1" applyBorder="1" applyAlignment="1">
      <alignment horizontal="center" vertical="center"/>
      <protection/>
    </xf>
    <xf numFmtId="0" fontId="56" fillId="36" borderId="10" xfId="101" applyFont="1" applyFill="1" applyBorder="1" applyAlignment="1">
      <alignment horizontal="center" vertical="center"/>
      <protection/>
    </xf>
    <xf numFmtId="0" fontId="0" fillId="5" borderId="22" xfId="101" applyFont="1" applyFill="1" applyBorder="1" applyAlignment="1">
      <alignment horizontal="left" vertical="center"/>
      <protection/>
    </xf>
    <xf numFmtId="0" fontId="1" fillId="36" borderId="13" xfId="101" applyFont="1" applyFill="1" applyBorder="1" applyAlignment="1">
      <alignment horizontal="center" vertical="center"/>
      <protection/>
    </xf>
    <xf numFmtId="178" fontId="56" fillId="36" borderId="13" xfId="101" applyNumberFormat="1" applyFont="1" applyFill="1" applyBorder="1" applyAlignment="1">
      <alignment horizontal="center" vertical="center"/>
      <protection/>
    </xf>
    <xf numFmtId="0" fontId="1" fillId="36" borderId="13" xfId="101" applyNumberFormat="1" applyFont="1" applyFill="1" applyBorder="1" applyAlignment="1">
      <alignment horizontal="center" vertical="center"/>
      <protection/>
    </xf>
    <xf numFmtId="0" fontId="56" fillId="36" borderId="13" xfId="101" applyNumberFormat="1" applyFont="1" applyFill="1" applyBorder="1" applyAlignment="1">
      <alignment horizontal="center" vertical="center"/>
      <protection/>
    </xf>
    <xf numFmtId="0" fontId="1" fillId="5" borderId="22" xfId="101" applyFont="1" applyFill="1" applyBorder="1" applyAlignment="1">
      <alignment horizontal="left" vertical="center"/>
      <protection/>
    </xf>
    <xf numFmtId="43" fontId="1" fillId="5" borderId="17" xfId="101" applyNumberFormat="1" applyFont="1" applyFill="1" applyBorder="1" applyAlignment="1">
      <alignment horizontal="center"/>
      <protection/>
    </xf>
    <xf numFmtId="43" fontId="1" fillId="0" borderId="0" xfId="101" applyNumberFormat="1" applyFont="1" applyBorder="1" applyAlignment="1">
      <alignment horizontal="center"/>
      <protection/>
    </xf>
    <xf numFmtId="0" fontId="1" fillId="0" borderId="23" xfId="101" applyNumberFormat="1" applyFont="1" applyBorder="1" applyAlignment="1">
      <alignment horizontal="center" vertical="center"/>
      <protection/>
    </xf>
    <xf numFmtId="178" fontId="56" fillId="0" borderId="23" xfId="101" applyNumberFormat="1" applyFont="1" applyBorder="1" applyAlignment="1">
      <alignment horizontal="center" vertical="center"/>
      <protection/>
    </xf>
    <xf numFmtId="0" fontId="56" fillId="0" borderId="23" xfId="101" applyNumberFormat="1" applyFont="1" applyBorder="1" applyAlignment="1">
      <alignment horizontal="center" vertical="center"/>
      <protection/>
    </xf>
    <xf numFmtId="0" fontId="0" fillId="0" borderId="22" xfId="101" applyFont="1" applyBorder="1" applyAlignment="1">
      <alignment horizontal="left" vertical="center"/>
      <protection/>
    </xf>
    <xf numFmtId="43" fontId="0" fillId="0" borderId="17" xfId="101" applyNumberFormat="1" applyBorder="1" applyAlignment="1">
      <alignment horizontal="center"/>
      <protection/>
    </xf>
    <xf numFmtId="176" fontId="1" fillId="0" borderId="20" xfId="101" applyNumberFormat="1" applyFont="1" applyBorder="1" applyAlignment="1">
      <alignment horizontal="center" vertical="center"/>
      <protection/>
    </xf>
    <xf numFmtId="1" fontId="1" fillId="38" borderId="24" xfId="101" applyNumberFormat="1" applyFont="1" applyFill="1" applyBorder="1" applyAlignment="1">
      <alignment horizontal="center" vertical="center"/>
      <protection/>
    </xf>
    <xf numFmtId="1" fontId="1" fillId="38" borderId="25" xfId="101" applyNumberFormat="1" applyFont="1" applyFill="1" applyBorder="1" applyAlignment="1">
      <alignment horizontal="center" vertical="center"/>
      <protection/>
    </xf>
    <xf numFmtId="1" fontId="1" fillId="39" borderId="25" xfId="101" applyNumberFormat="1" applyFont="1" applyFill="1" applyBorder="1" applyAlignment="1">
      <alignment horizontal="center" vertical="center"/>
      <protection/>
    </xf>
    <xf numFmtId="1" fontId="1" fillId="39" borderId="26" xfId="101" applyNumberFormat="1" applyFont="1" applyFill="1" applyBorder="1" applyAlignment="1">
      <alignment horizontal="center" vertical="center"/>
      <protection/>
    </xf>
    <xf numFmtId="0" fontId="0" fillId="12" borderId="22" xfId="101" applyFont="1" applyFill="1" applyBorder="1" applyAlignment="1">
      <alignment horizontal="left" vertical="center"/>
      <protection/>
    </xf>
    <xf numFmtId="1" fontId="1" fillId="38" borderId="27" xfId="101" applyNumberFormat="1" applyFont="1" applyFill="1" applyBorder="1" applyAlignment="1">
      <alignment horizontal="center" vertical="center"/>
      <protection/>
    </xf>
    <xf numFmtId="1" fontId="1" fillId="38" borderId="19" xfId="101" applyNumberFormat="1" applyFont="1" applyFill="1" applyBorder="1" applyAlignment="1">
      <alignment horizontal="center" vertical="center"/>
      <protection/>
    </xf>
    <xf numFmtId="1" fontId="1" fillId="39" borderId="19" xfId="101" applyNumberFormat="1" applyFont="1" applyFill="1" applyBorder="1" applyAlignment="1">
      <alignment horizontal="center" vertical="center"/>
      <protection/>
    </xf>
    <xf numFmtId="1" fontId="1" fillId="39" borderId="28" xfId="101" applyNumberFormat="1" applyFont="1" applyFill="1" applyBorder="1" applyAlignment="1">
      <alignment horizontal="center" vertical="center"/>
      <protection/>
    </xf>
    <xf numFmtId="176" fontId="56" fillId="0" borderId="20" xfId="101" applyNumberFormat="1" applyFont="1" applyBorder="1" applyAlignment="1">
      <alignment horizontal="center" vertical="center"/>
      <protection/>
    </xf>
    <xf numFmtId="0" fontId="0" fillId="7" borderId="22" xfId="101" applyFont="1" applyFill="1" applyBorder="1" applyAlignment="1">
      <alignment horizontal="left" vertical="center"/>
      <protection/>
    </xf>
    <xf numFmtId="0" fontId="0" fillId="7" borderId="22" xfId="101" applyFont="1" applyFill="1" applyBorder="1" applyAlignment="1">
      <alignment horizontal="left" vertical="center" wrapText="1"/>
      <protection/>
    </xf>
    <xf numFmtId="1" fontId="1" fillId="38" borderId="29" xfId="101" applyNumberFormat="1" applyFont="1" applyFill="1" applyBorder="1" applyAlignment="1">
      <alignment horizontal="center" vertical="center"/>
      <protection/>
    </xf>
    <xf numFmtId="1" fontId="1" fillId="38" borderId="30" xfId="101" applyNumberFormat="1" applyFont="1" applyFill="1" applyBorder="1" applyAlignment="1">
      <alignment horizontal="center" vertical="center"/>
      <protection/>
    </xf>
    <xf numFmtId="1" fontId="1" fillId="39" borderId="30" xfId="101" applyNumberFormat="1" applyFont="1" applyFill="1" applyBorder="1" applyAlignment="1">
      <alignment horizontal="center" vertical="center"/>
      <protection/>
    </xf>
    <xf numFmtId="1" fontId="1" fillId="39" borderId="31" xfId="101" applyNumberFormat="1" applyFont="1" applyFill="1" applyBorder="1" applyAlignment="1">
      <alignment horizontal="center" vertical="center"/>
      <protection/>
    </xf>
    <xf numFmtId="0" fontId="1" fillId="7" borderId="32" xfId="101" applyFont="1" applyFill="1" applyBorder="1" applyAlignment="1">
      <alignment horizontal="left" vertical="center" wrapText="1"/>
      <protection/>
    </xf>
    <xf numFmtId="43" fontId="1" fillId="7" borderId="33" xfId="101" applyNumberFormat="1" applyFont="1" applyFill="1" applyBorder="1" applyAlignment="1">
      <alignment horizontal="center"/>
      <protection/>
    </xf>
    <xf numFmtId="0" fontId="8" fillId="0" borderId="0" xfId="101" applyFont="1" applyBorder="1" applyAlignment="1">
      <alignment horizontal="center" vertical="center" textRotation="90" wrapText="1"/>
      <protection/>
    </xf>
    <xf numFmtId="176" fontId="8" fillId="0" borderId="0" xfId="101" applyNumberFormat="1" applyFont="1" applyBorder="1" applyAlignment="1">
      <alignment horizontal="center" vertical="center"/>
      <protection/>
    </xf>
    <xf numFmtId="1" fontId="8" fillId="0" borderId="0" xfId="101" applyNumberFormat="1" applyFont="1" applyFill="1" applyBorder="1" applyAlignment="1">
      <alignment horizontal="center" vertical="center"/>
      <protection/>
    </xf>
    <xf numFmtId="0" fontId="1" fillId="0" borderId="0" xfId="101" applyFont="1" applyFill="1" applyBorder="1" applyAlignment="1">
      <alignment horizontal="left" vertical="center" wrapText="1"/>
      <protection/>
    </xf>
    <xf numFmtId="43" fontId="1" fillId="0" borderId="0" xfId="101" applyNumberFormat="1" applyFont="1" applyFill="1" applyBorder="1" applyAlignment="1">
      <alignment horizontal="center"/>
      <protection/>
    </xf>
    <xf numFmtId="43" fontId="0" fillId="0" borderId="0" xfId="101" applyNumberFormat="1" applyFill="1" applyBorder="1" applyAlignment="1">
      <alignment horizontal="center"/>
      <protection/>
    </xf>
    <xf numFmtId="0" fontId="8" fillId="0" borderId="0" xfId="101" applyFont="1" applyFill="1" applyBorder="1" applyAlignment="1">
      <alignment horizontal="center" vertical="center" textRotation="90" wrapText="1"/>
      <protection/>
    </xf>
    <xf numFmtId="176" fontId="8" fillId="0" borderId="0" xfId="101" applyNumberFormat="1" applyFont="1" applyFill="1" applyBorder="1" applyAlignment="1">
      <alignment horizontal="center" vertical="center"/>
      <protection/>
    </xf>
    <xf numFmtId="177" fontId="1" fillId="36" borderId="13" xfId="101" applyNumberFormat="1" applyFont="1" applyFill="1" applyBorder="1" applyAlignment="1">
      <alignment horizontal="center" vertical="center"/>
      <protection/>
    </xf>
    <xf numFmtId="177" fontId="57" fillId="36" borderId="13" xfId="101" applyNumberFormat="1" applyFont="1" applyFill="1" applyBorder="1" applyAlignment="1">
      <alignment horizontal="center" vertical="center"/>
      <protection/>
    </xf>
    <xf numFmtId="177" fontId="56" fillId="36" borderId="13" xfId="101" applyNumberFormat="1" applyFont="1" applyFill="1" applyBorder="1" applyAlignment="1">
      <alignment horizontal="center" vertical="center"/>
      <protection/>
    </xf>
    <xf numFmtId="177" fontId="57" fillId="0" borderId="23" xfId="101" applyNumberFormat="1" applyFont="1" applyBorder="1" applyAlignment="1">
      <alignment horizontal="center" vertical="center"/>
      <protection/>
    </xf>
    <xf numFmtId="177" fontId="56" fillId="0" borderId="23" xfId="101" applyNumberFormat="1" applyFont="1" applyBorder="1" applyAlignment="1">
      <alignment horizontal="center" vertical="center"/>
      <protection/>
    </xf>
    <xf numFmtId="43" fontId="0" fillId="0" borderId="0" xfId="101" applyNumberFormat="1" applyBorder="1" applyAlignment="1">
      <alignment horizontal="center" vertical="center"/>
      <protection/>
    </xf>
    <xf numFmtId="0" fontId="1" fillId="0" borderId="0" xfId="101" applyFont="1" applyBorder="1" applyAlignment="1">
      <alignment horizontal="center" vertical="center"/>
      <protection/>
    </xf>
    <xf numFmtId="177" fontId="1" fillId="0" borderId="23" xfId="101" applyNumberFormat="1" applyFont="1" applyBorder="1" applyAlignment="1">
      <alignment horizontal="center" vertical="center"/>
      <protection/>
    </xf>
    <xf numFmtId="0" fontId="0" fillId="0" borderId="0" xfId="101" applyBorder="1" applyAlignment="1">
      <alignment horizontal="center" vertical="center"/>
      <protection/>
    </xf>
    <xf numFmtId="2" fontId="0" fillId="0" borderId="0" xfId="101" applyNumberFormat="1" applyBorder="1" applyAlignment="1">
      <alignment horizontal="center" vertical="center"/>
      <protection/>
    </xf>
    <xf numFmtId="43" fontId="0" fillId="0" borderId="0" xfId="101" applyNumberFormat="1" applyBorder="1" applyAlignment="1">
      <alignment horizontal="center" vertical="center" wrapText="1"/>
      <protection/>
    </xf>
    <xf numFmtId="0" fontId="1" fillId="34" borderId="20" xfId="0" applyFont="1" applyFill="1" applyBorder="1" applyAlignment="1" applyProtection="1">
      <alignment horizontal="left"/>
      <protection hidden="1"/>
    </xf>
    <xf numFmtId="0" fontId="1" fillId="0" borderId="20" xfId="0" applyFont="1" applyFill="1" applyBorder="1" applyAlignment="1" applyProtection="1">
      <alignment horizontal="left"/>
      <protection hidden="1"/>
    </xf>
    <xf numFmtId="0" fontId="1" fillId="0" borderId="22" xfId="0" applyFont="1" applyFill="1" applyBorder="1" applyAlignment="1" applyProtection="1">
      <alignment horizontal="left"/>
      <protection hidden="1"/>
    </xf>
    <xf numFmtId="0" fontId="1" fillId="0" borderId="34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35" xfId="0" applyFont="1" applyFill="1" applyBorder="1" applyAlignment="1" applyProtection="1">
      <alignment horizontal="left"/>
      <protection hidden="1"/>
    </xf>
    <xf numFmtId="0" fontId="1" fillId="35" borderId="20" xfId="0" applyFont="1" applyFill="1" applyBorder="1" applyAlignment="1" applyProtection="1">
      <alignment horizontal="left"/>
      <protection hidden="1"/>
    </xf>
    <xf numFmtId="0" fontId="1" fillId="35" borderId="10" xfId="0" applyFont="1" applyFill="1" applyBorder="1" applyAlignment="1" applyProtection="1">
      <alignment horizontal="left"/>
      <protection hidden="1"/>
    </xf>
    <xf numFmtId="174" fontId="1" fillId="35" borderId="12" xfId="0" applyNumberFormat="1" applyFont="1" applyFill="1" applyBorder="1" applyAlignment="1" applyProtection="1">
      <alignment horizontal="left"/>
      <protection hidden="1"/>
    </xf>
    <xf numFmtId="0" fontId="1" fillId="0" borderId="20" xfId="75" applyFont="1" applyFill="1" applyBorder="1" applyAlignment="1" applyProtection="1">
      <alignment horizontal="left"/>
      <protection hidden="1"/>
    </xf>
    <xf numFmtId="0" fontId="1" fillId="35" borderId="20" xfId="75" applyFont="1" applyFill="1" applyBorder="1" applyAlignment="1" applyProtection="1">
      <alignment horizontal="left"/>
      <protection hidden="1"/>
    </xf>
    <xf numFmtId="0" fontId="1" fillId="0" borderId="22" xfId="75" applyFont="1" applyFill="1" applyBorder="1" applyAlignment="1" applyProtection="1">
      <alignment horizontal="left"/>
      <protection hidden="1"/>
    </xf>
    <xf numFmtId="0" fontId="1" fillId="0" borderId="34" xfId="75" applyFont="1" applyFill="1" applyBorder="1" applyAlignment="1" applyProtection="1">
      <alignment horizontal="left"/>
      <protection hidden="1"/>
    </xf>
    <xf numFmtId="0" fontId="1" fillId="0" borderId="0" xfId="75" applyFont="1" applyFill="1" applyBorder="1" applyAlignment="1" applyProtection="1">
      <alignment horizontal="left"/>
      <protection hidden="1"/>
    </xf>
    <xf numFmtId="0" fontId="1" fillId="0" borderId="36" xfId="75" applyFont="1" applyFill="1" applyBorder="1" applyAlignment="1" applyProtection="1">
      <alignment horizontal="left"/>
      <protection hidden="1"/>
    </xf>
    <xf numFmtId="0" fontId="1" fillId="0" borderId="37" xfId="75" applyFont="1" applyFill="1" applyBorder="1" applyAlignment="1" applyProtection="1">
      <alignment horizontal="left"/>
      <protection hidden="1"/>
    </xf>
    <xf numFmtId="0" fontId="1" fillId="0" borderId="35" xfId="75" applyFont="1" applyFill="1" applyBorder="1" applyAlignment="1" applyProtection="1">
      <alignment horizontal="left"/>
      <protection hidden="1"/>
    </xf>
    <xf numFmtId="0" fontId="1" fillId="36" borderId="34" xfId="75" applyFont="1" applyFill="1" applyBorder="1" applyAlignment="1" applyProtection="1">
      <alignment horizontal="left"/>
      <protection hidden="1"/>
    </xf>
    <xf numFmtId="0" fontId="1" fillId="36" borderId="0" xfId="75" applyFont="1" applyFill="1" applyBorder="1" applyAlignment="1" applyProtection="1">
      <alignment horizontal="left"/>
      <protection hidden="1"/>
    </xf>
    <xf numFmtId="0" fontId="12" fillId="36" borderId="38" xfId="75" applyNumberFormat="1" applyFont="1" applyFill="1" applyBorder="1" applyAlignment="1">
      <alignment vertical="center"/>
      <protection/>
    </xf>
    <xf numFmtId="0" fontId="0" fillId="36" borderId="39" xfId="75" applyNumberFormat="1" applyFont="1" applyFill="1" applyBorder="1" applyAlignment="1" applyProtection="1">
      <alignment/>
      <protection hidden="1"/>
    </xf>
    <xf numFmtId="0" fontId="0" fillId="36" borderId="40" xfId="75" applyNumberFormat="1" applyFont="1" applyFill="1" applyBorder="1" applyAlignment="1" applyProtection="1">
      <alignment/>
      <protection hidden="1"/>
    </xf>
    <xf numFmtId="0" fontId="13" fillId="36" borderId="34" xfId="75" applyNumberFormat="1" applyFont="1" applyFill="1" applyBorder="1" applyAlignment="1">
      <alignment vertical="center"/>
      <protection/>
    </xf>
    <xf numFmtId="0" fontId="0" fillId="36" borderId="0" xfId="75" applyNumberFormat="1" applyFont="1" applyFill="1" applyBorder="1" applyAlignment="1" applyProtection="1">
      <alignment/>
      <protection hidden="1"/>
    </xf>
    <xf numFmtId="0" fontId="0" fillId="36" borderId="41" xfId="75" applyNumberFormat="1" applyFont="1" applyFill="1" applyBorder="1" applyAlignment="1" applyProtection="1">
      <alignment/>
      <protection hidden="1"/>
    </xf>
    <xf numFmtId="0" fontId="13" fillId="36" borderId="15" xfId="75" applyNumberFormat="1" applyFont="1" applyFill="1" applyBorder="1" applyAlignment="1">
      <alignment vertical="center"/>
      <protection/>
    </xf>
    <xf numFmtId="0" fontId="0" fillId="36" borderId="14" xfId="75" applyNumberFormat="1" applyFont="1" applyFill="1" applyBorder="1" applyAlignment="1" applyProtection="1">
      <alignment/>
      <protection hidden="1"/>
    </xf>
    <xf numFmtId="0" fontId="0" fillId="36" borderId="11" xfId="75" applyNumberFormat="1" applyFont="1" applyFill="1" applyBorder="1" applyAlignment="1" applyProtection="1">
      <alignment/>
      <protection hidden="1"/>
    </xf>
    <xf numFmtId="0" fontId="53" fillId="0" borderId="19" xfId="0" applyFont="1" applyFill="1" applyBorder="1" applyAlignment="1">
      <alignment/>
    </xf>
    <xf numFmtId="0" fontId="54" fillId="0" borderId="0" xfId="84" applyFont="1">
      <alignment/>
      <protection/>
    </xf>
    <xf numFmtId="43" fontId="54" fillId="0" borderId="0" xfId="84" applyNumberFormat="1" applyFont="1">
      <alignment/>
      <protection/>
    </xf>
    <xf numFmtId="0" fontId="54" fillId="0" borderId="0" xfId="84" applyFont="1">
      <alignment/>
      <protection/>
    </xf>
    <xf numFmtId="43" fontId="54" fillId="0" borderId="0" xfId="84" applyNumberFormat="1" applyFont="1">
      <alignment/>
      <protection/>
    </xf>
    <xf numFmtId="43" fontId="0" fillId="5" borderId="16" xfId="103" applyNumberFormat="1" applyFill="1" applyBorder="1" applyAlignment="1">
      <alignment horizontal="center"/>
      <protection/>
    </xf>
    <xf numFmtId="43" fontId="0" fillId="5" borderId="16" xfId="103" applyNumberFormat="1" applyFill="1" applyBorder="1" applyAlignment="1" applyProtection="1">
      <alignment horizontal="center"/>
      <protection hidden="1"/>
    </xf>
    <xf numFmtId="43" fontId="1" fillId="5" borderId="17" xfId="101" applyNumberFormat="1" applyFont="1" applyFill="1" applyBorder="1" applyAlignment="1" applyProtection="1">
      <alignment horizontal="center"/>
      <protection hidden="1"/>
    </xf>
    <xf numFmtId="43" fontId="1" fillId="7" borderId="33" xfId="101" applyNumberFormat="1" applyFont="1" applyFill="1" applyBorder="1" applyAlignment="1" applyProtection="1">
      <alignment horizontal="center"/>
      <protection hidden="1"/>
    </xf>
    <xf numFmtId="178" fontId="0" fillId="7" borderId="17" xfId="101" applyNumberFormat="1" applyFill="1" applyBorder="1" applyAlignment="1" applyProtection="1">
      <alignment/>
      <protection hidden="1"/>
    </xf>
    <xf numFmtId="43" fontId="1" fillId="7" borderId="33" xfId="101" applyNumberFormat="1" applyFont="1" applyFill="1" applyBorder="1" applyAlignment="1" applyProtection="1">
      <alignment/>
      <protection hidden="1"/>
    </xf>
    <xf numFmtId="178" fontId="58" fillId="0" borderId="19" xfId="75" applyNumberFormat="1" applyFont="1" applyFill="1" applyBorder="1" applyAlignment="1" applyProtection="1">
      <alignment horizontal="center"/>
      <protection locked="0"/>
    </xf>
    <xf numFmtId="0" fontId="0" fillId="0" borderId="0" xfId="101" applyProtection="1">
      <alignment/>
      <protection locked="0"/>
    </xf>
    <xf numFmtId="43" fontId="56" fillId="12" borderId="17" xfId="101" applyNumberFormat="1" applyFont="1" applyFill="1" applyBorder="1" applyAlignment="1" applyProtection="1">
      <alignment horizontal="center"/>
      <protection locked="0"/>
    </xf>
    <xf numFmtId="179" fontId="0" fillId="7" borderId="17" xfId="101" applyNumberFormat="1" applyFill="1" applyBorder="1" applyAlignment="1">
      <alignment horizontal="right"/>
      <protection/>
    </xf>
    <xf numFmtId="178" fontId="0" fillId="7" borderId="17" xfId="101" applyNumberFormat="1" applyFill="1" applyBorder="1" applyAlignment="1">
      <alignment horizontal="right"/>
      <protection/>
    </xf>
    <xf numFmtId="43" fontId="0" fillId="0" borderId="17" xfId="101" applyNumberFormat="1" applyBorder="1" applyAlignment="1">
      <alignment horizontal="right"/>
      <protection/>
    </xf>
    <xf numFmtId="178" fontId="0" fillId="7" borderId="17" xfId="101" applyNumberFormat="1" applyFill="1" applyBorder="1" applyAlignment="1" applyProtection="1">
      <alignment horizontal="right"/>
      <protection hidden="1"/>
    </xf>
    <xf numFmtId="0" fontId="1" fillId="37" borderId="14" xfId="75" applyFont="1" applyFill="1" applyBorder="1" applyAlignment="1" applyProtection="1">
      <alignment horizontal="center"/>
      <protection hidden="1"/>
    </xf>
    <xf numFmtId="0" fontId="1" fillId="37" borderId="14" xfId="0" applyFont="1" applyFill="1" applyBorder="1" applyAlignment="1" applyProtection="1">
      <alignment horizontal="center" wrapText="1"/>
      <protection hidden="1"/>
    </xf>
    <xf numFmtId="0" fontId="1" fillId="0" borderId="23" xfId="101" applyFont="1" applyBorder="1" applyAlignment="1">
      <alignment horizontal="center" vertical="center" textRotation="90" wrapText="1"/>
      <protection/>
    </xf>
    <xf numFmtId="0" fontId="1" fillId="0" borderId="18" xfId="101" applyFont="1" applyBorder="1" applyAlignment="1">
      <alignment horizontal="center" vertical="center" textRotation="90" wrapText="1"/>
      <protection/>
    </xf>
    <xf numFmtId="0" fontId="1" fillId="0" borderId="42" xfId="101" applyFont="1" applyBorder="1" applyAlignment="1">
      <alignment horizontal="center" vertical="center" textRotation="90" wrapText="1"/>
      <protection/>
    </xf>
    <xf numFmtId="0" fontId="1" fillId="0" borderId="20" xfId="101" applyFont="1" applyBorder="1" applyAlignment="1">
      <alignment horizontal="center" vertical="center"/>
      <protection/>
    </xf>
    <xf numFmtId="0" fontId="1" fillId="0" borderId="10" xfId="101" applyFont="1" applyBorder="1" applyAlignment="1">
      <alignment horizontal="center" vertical="center"/>
      <protection/>
    </xf>
    <xf numFmtId="0" fontId="1" fillId="0" borderId="12" xfId="101" applyFont="1" applyBorder="1" applyAlignment="1">
      <alignment horizontal="center" vertical="center"/>
      <protection/>
    </xf>
    <xf numFmtId="0" fontId="1" fillId="0" borderId="20" xfId="101" applyFont="1" applyBorder="1" applyAlignment="1">
      <alignment vertical="center" wrapText="1"/>
      <protection/>
    </xf>
    <xf numFmtId="0" fontId="1" fillId="0" borderId="12" xfId="101" applyFont="1" applyBorder="1" applyAlignment="1">
      <alignment vertical="center" wrapText="1"/>
      <protection/>
    </xf>
    <xf numFmtId="173" fontId="1" fillId="35" borderId="20" xfId="75" applyNumberFormat="1" applyFont="1" applyFill="1" applyBorder="1" applyAlignment="1" applyProtection="1">
      <alignment horizontal="left" wrapText="1"/>
      <protection hidden="1"/>
    </xf>
    <xf numFmtId="173" fontId="1" fillId="35" borderId="10" xfId="75" applyNumberFormat="1" applyFont="1" applyFill="1" applyBorder="1" applyAlignment="1" applyProtection="1">
      <alignment horizontal="left" wrapText="1"/>
      <protection hidden="1"/>
    </xf>
    <xf numFmtId="173" fontId="1" fillId="35" borderId="12" xfId="75" applyNumberFormat="1" applyFont="1" applyFill="1" applyBorder="1" applyAlignment="1" applyProtection="1">
      <alignment horizontal="left" wrapText="1"/>
      <protection hidden="1"/>
    </xf>
    <xf numFmtId="0" fontId="1" fillId="35" borderId="20" xfId="75" applyFont="1" applyFill="1" applyBorder="1" applyAlignment="1" applyProtection="1">
      <alignment horizontal="left" wrapText="1"/>
      <protection hidden="1"/>
    </xf>
    <xf numFmtId="0" fontId="1" fillId="35" borderId="10" xfId="75" applyFont="1" applyFill="1" applyBorder="1" applyAlignment="1" applyProtection="1">
      <alignment horizontal="left" wrapText="1"/>
      <protection hidden="1"/>
    </xf>
    <xf numFmtId="0" fontId="1" fillId="35" borderId="12" xfId="75" applyFont="1" applyFill="1" applyBorder="1" applyAlignment="1" applyProtection="1">
      <alignment horizontal="left" wrapText="1"/>
      <protection hidden="1"/>
    </xf>
    <xf numFmtId="0" fontId="0" fillId="0" borderId="10" xfId="75" applyBorder="1" applyAlignment="1">
      <alignment horizontal="left" wrapText="1"/>
      <protection/>
    </xf>
    <xf numFmtId="0" fontId="0" fillId="0" borderId="12" xfId="75" applyBorder="1" applyAlignment="1">
      <alignment horizontal="left" wrapText="1"/>
      <protection/>
    </xf>
    <xf numFmtId="0" fontId="54" fillId="0" borderId="0" xfId="84" applyFont="1" applyAlignment="1">
      <alignment horizontal="center"/>
      <protection/>
    </xf>
    <xf numFmtId="0" fontId="0" fillId="0" borderId="38" xfId="0" applyFont="1" applyFill="1" applyBorder="1" applyAlignment="1" applyProtection="1">
      <alignment horizontal="left" vertical="center"/>
      <protection hidden="1"/>
    </xf>
    <xf numFmtId="0" fontId="0" fillId="0" borderId="39" xfId="0" applyFont="1" applyFill="1" applyBorder="1" applyAlignment="1" applyProtection="1">
      <alignment horizontal="left" vertical="center"/>
      <protection hidden="1"/>
    </xf>
    <xf numFmtId="0" fontId="0" fillId="0" borderId="40" xfId="0" applyFont="1" applyFill="1" applyBorder="1" applyAlignment="1" applyProtection="1">
      <alignment horizontal="left" vertical="center"/>
      <protection hidden="1"/>
    </xf>
    <xf numFmtId="0" fontId="0" fillId="0" borderId="34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41" xfId="0" applyFont="1" applyFill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left" vertical="center"/>
      <protection hidden="1"/>
    </xf>
    <xf numFmtId="0" fontId="11" fillId="33" borderId="20" xfId="75" applyFont="1" applyFill="1" applyBorder="1" applyAlignment="1" applyProtection="1">
      <alignment horizontal="left" wrapText="1"/>
      <protection hidden="1"/>
    </xf>
    <xf numFmtId="0" fontId="0" fillId="0" borderId="10" xfId="75" applyBorder="1" applyAlignment="1">
      <alignment wrapText="1"/>
      <protection/>
    </xf>
    <xf numFmtId="0" fontId="11" fillId="33" borderId="10" xfId="75" applyFont="1" applyFill="1" applyBorder="1" applyAlignment="1" applyProtection="1">
      <alignment wrapText="1"/>
      <protection hidden="1"/>
    </xf>
    <xf numFmtId="0" fontId="0" fillId="0" borderId="10" xfId="0" applyBorder="1" applyAlignment="1">
      <alignment wrapText="1"/>
    </xf>
    <xf numFmtId="0" fontId="1" fillId="34" borderId="20" xfId="0" applyFont="1" applyFill="1" applyBorder="1" applyAlignment="1" applyProtection="1">
      <alignment horizontal="left" wrapText="1"/>
      <protection hidden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4" borderId="20" xfId="75" applyFont="1" applyFill="1" applyBorder="1" applyAlignment="1" applyProtection="1">
      <alignment horizontal="left" wrapText="1" readingOrder="1"/>
      <protection hidden="1"/>
    </xf>
    <xf numFmtId="0" fontId="1" fillId="34" borderId="10" xfId="75" applyFont="1" applyFill="1" applyBorder="1" applyAlignment="1" applyProtection="1">
      <alignment horizontal="left" wrapText="1" readingOrder="1"/>
      <protection hidden="1"/>
    </xf>
    <xf numFmtId="0" fontId="1" fillId="34" borderId="12" xfId="75" applyFont="1" applyFill="1" applyBorder="1" applyAlignment="1" applyProtection="1">
      <alignment horizontal="left" wrapText="1" readingOrder="1"/>
      <protection hidden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omma 5 2" xfId="52"/>
    <cellStyle name="Comma 5 3" xfId="53"/>
    <cellStyle name="Comma 6" xfId="54"/>
    <cellStyle name="Comma 6 2" xfId="55"/>
    <cellStyle name="Currency" xfId="56"/>
    <cellStyle name="Currency [0]" xfId="57"/>
    <cellStyle name="Currency 2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Hyperlink 2" xfId="67"/>
    <cellStyle name="Hyperlink 2 2" xfId="68"/>
    <cellStyle name="Hyperlink 3" xfId="69"/>
    <cellStyle name="Hyperlink 3 2" xfId="70"/>
    <cellStyle name="Input" xfId="71"/>
    <cellStyle name="Linked Cell" xfId="72"/>
    <cellStyle name="Neutral" xfId="73"/>
    <cellStyle name="Normal 2" xfId="74"/>
    <cellStyle name="Normal 2 2" xfId="75"/>
    <cellStyle name="Normal 2 2 2" xfId="76"/>
    <cellStyle name="Normal 2 2 3" xfId="77"/>
    <cellStyle name="Normal 2 2 4" xfId="78"/>
    <cellStyle name="Normal 2 3" xfId="79"/>
    <cellStyle name="Normal 2 4" xfId="80"/>
    <cellStyle name="Normal 2 5" xfId="81"/>
    <cellStyle name="Normal 3" xfId="82"/>
    <cellStyle name="Normal 3 2" xfId="83"/>
    <cellStyle name="Normal 3 2 2" xfId="84"/>
    <cellStyle name="Normal 3 2 3" xfId="85"/>
    <cellStyle name="Normal 3 2 4" xfId="86"/>
    <cellStyle name="Normal 3 2 4 2" xfId="87"/>
    <cellStyle name="Normal 3 2 4 3" xfId="88"/>
    <cellStyle name="Normal 3 2 5" xfId="89"/>
    <cellStyle name="Normal 3 3" xfId="90"/>
    <cellStyle name="Normal 3 4" xfId="91"/>
    <cellStyle name="Normal 3 5" xfId="92"/>
    <cellStyle name="Normal 4" xfId="93"/>
    <cellStyle name="Normal 4 2" xfId="94"/>
    <cellStyle name="Normal 4 2 2" xfId="95"/>
    <cellStyle name="Normal 4 2 3" xfId="96"/>
    <cellStyle name="Normal 4 3" xfId="97"/>
    <cellStyle name="Normal 5" xfId="98"/>
    <cellStyle name="Normal 5 2" xfId="99"/>
    <cellStyle name="Normal 5 3" xfId="100"/>
    <cellStyle name="Normal 6" xfId="101"/>
    <cellStyle name="Normal 6 2" xfId="102"/>
    <cellStyle name="Normal 6 3" xfId="103"/>
    <cellStyle name="Note" xfId="104"/>
    <cellStyle name="Output" xfId="105"/>
    <cellStyle name="Percent" xfId="106"/>
    <cellStyle name="Percent 10" xfId="107"/>
    <cellStyle name="Percent 2" xfId="108"/>
    <cellStyle name="Percent 2 2" xfId="109"/>
    <cellStyle name="Percent 2 3" xfId="110"/>
    <cellStyle name="Percent 2 3 2" xfId="111"/>
    <cellStyle name="Percent 2 3 3" xfId="112"/>
    <cellStyle name="Percent 2 3 4" xfId="113"/>
    <cellStyle name="Percent 2 4" xfId="114"/>
    <cellStyle name="Percent 2 5" xfId="115"/>
    <cellStyle name="Percent 3" xfId="116"/>
    <cellStyle name="Percent 3 2" xfId="117"/>
    <cellStyle name="Percent 4" xfId="118"/>
    <cellStyle name="Percent 4 2" xfId="119"/>
    <cellStyle name="Percent 5" xfId="120"/>
    <cellStyle name="Percent 5 2" xfId="121"/>
    <cellStyle name="Percent 5 2 2" xfId="122"/>
    <cellStyle name="Percent 5 2 3" xfId="123"/>
    <cellStyle name="Percent 5 2 3 2" xfId="124"/>
    <cellStyle name="Percent 5 3" xfId="125"/>
    <cellStyle name="Percent 5 3 2" xfId="126"/>
    <cellStyle name="Percent 6" xfId="127"/>
    <cellStyle name="Percent 6 2" xfId="128"/>
    <cellStyle name="Percent 7" xfId="129"/>
    <cellStyle name="Percent 7 2" xfId="130"/>
    <cellStyle name="Percent 7 3" xfId="131"/>
    <cellStyle name="Percent 7 4" xfId="132"/>
    <cellStyle name="Percent 7 4 2" xfId="133"/>
    <cellStyle name="Percent 7 5" xfId="134"/>
    <cellStyle name="Percent 8" xfId="135"/>
    <cellStyle name="Percent 8 2" xfId="136"/>
    <cellStyle name="Percent 8 3" xfId="137"/>
    <cellStyle name="Percent 9" xfId="138"/>
    <cellStyle name="Title" xfId="139"/>
    <cellStyle name="Total" xfId="140"/>
    <cellStyle name="Warning Text" xfId="141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47625</xdr:rowOff>
    </xdr:from>
    <xdr:to>
      <xdr:col>8</xdr:col>
      <xdr:colOff>742950</xdr:colOff>
      <xdr:row>1</xdr:row>
      <xdr:rowOff>152400</xdr:rowOff>
    </xdr:to>
    <xdr:pic>
      <xdr:nvPicPr>
        <xdr:cNvPr id="1" name="Picture 21" descr="G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47625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971550</xdr:colOff>
      <xdr:row>44</xdr:row>
      <xdr:rowOff>19050</xdr:rowOff>
    </xdr:to>
    <xdr:pic>
      <xdr:nvPicPr>
        <xdr:cNvPr id="2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81950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8</xdr:col>
      <xdr:colOff>695325</xdr:colOff>
      <xdr:row>2</xdr:row>
      <xdr:rowOff>114300</xdr:rowOff>
    </xdr:to>
    <xdr:pic>
      <xdr:nvPicPr>
        <xdr:cNvPr id="1" name="Picture 1" descr="G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76200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66675</xdr:rowOff>
    </xdr:from>
    <xdr:to>
      <xdr:col>8</xdr:col>
      <xdr:colOff>733425</xdr:colOff>
      <xdr:row>2</xdr:row>
      <xdr:rowOff>66675</xdr:rowOff>
    </xdr:to>
    <xdr:pic>
      <xdr:nvPicPr>
        <xdr:cNvPr id="1" name="Picture 1" descr="G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666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123825</xdr:rowOff>
    </xdr:from>
    <xdr:to>
      <xdr:col>8</xdr:col>
      <xdr:colOff>695325</xdr:colOff>
      <xdr:row>2</xdr:row>
      <xdr:rowOff>76200</xdr:rowOff>
    </xdr:to>
    <xdr:pic>
      <xdr:nvPicPr>
        <xdr:cNvPr id="1" name="Picture 1" descr="G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238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790575</xdr:colOff>
      <xdr:row>108</xdr:row>
      <xdr:rowOff>0</xdr:rowOff>
    </xdr:from>
    <xdr:to>
      <xdr:col>8</xdr:col>
      <xdr:colOff>933450</xdr:colOff>
      <xdr:row>111</xdr:row>
      <xdr:rowOff>152400</xdr:rowOff>
    </xdr:to>
    <xdr:pic>
      <xdr:nvPicPr>
        <xdr:cNvPr id="2" name="Picture 2" descr="G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873567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107</xdr:row>
      <xdr:rowOff>57150</xdr:rowOff>
    </xdr:from>
    <xdr:to>
      <xdr:col>8</xdr:col>
      <xdr:colOff>904875</xdr:colOff>
      <xdr:row>111</xdr:row>
      <xdr:rowOff>152400</xdr:rowOff>
    </xdr:to>
    <xdr:pic>
      <xdr:nvPicPr>
        <xdr:cNvPr id="3" name="Picture 2" descr="G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86309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80" zoomScaleNormal="80" zoomScalePageLayoutView="0" workbookViewId="0" topLeftCell="A1">
      <selection activeCell="B31" sqref="B31"/>
    </sheetView>
  </sheetViews>
  <sheetFormatPr defaultColWidth="9.140625" defaultRowHeight="12.75"/>
  <cols>
    <col min="1" max="1" width="52.421875" style="37" customWidth="1"/>
    <col min="2" max="2" width="19.140625" style="37" bestFit="1" customWidth="1"/>
    <col min="3" max="3" width="2.8515625" style="37" customWidth="1"/>
    <col min="4" max="4" width="23.7109375" style="37" customWidth="1"/>
    <col min="5" max="12" width="10.7109375" style="37" customWidth="1"/>
    <col min="13" max="14" width="9.140625" style="37" customWidth="1"/>
    <col min="15" max="15" width="2.8515625" style="37" customWidth="1"/>
    <col min="16" max="16" width="22.7109375" style="37" customWidth="1"/>
    <col min="17" max="17" width="11.7109375" style="37" customWidth="1"/>
    <col min="18" max="26" width="9.421875" style="37" customWidth="1"/>
    <col min="27" max="16384" width="9.140625" style="37" customWidth="1"/>
  </cols>
  <sheetData>
    <row r="1" spans="1:14" s="38" customFormat="1" ht="25.5" customHeight="1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8" customFormat="1" ht="13.5" customHeight="1">
      <c r="A2" s="39" t="s">
        <v>60</v>
      </c>
      <c r="B2" s="40">
        <v>42931</v>
      </c>
      <c r="C2" s="37"/>
      <c r="D2" s="37"/>
      <c r="E2" s="37"/>
      <c r="F2" s="41"/>
      <c r="G2" s="42"/>
      <c r="H2" s="37"/>
      <c r="I2" s="37"/>
      <c r="J2" s="37"/>
      <c r="K2" s="37"/>
      <c r="L2" s="37"/>
      <c r="M2" s="37"/>
      <c r="N2" s="37"/>
    </row>
    <row r="3" spans="1:12" s="38" customFormat="1" ht="13.5" customHeight="1">
      <c r="A3" s="43" t="s">
        <v>61</v>
      </c>
      <c r="B3" s="44" t="s">
        <v>1</v>
      </c>
      <c r="C3" s="37"/>
      <c r="D3" s="44" t="s">
        <v>62</v>
      </c>
      <c r="E3" s="37"/>
      <c r="F3" s="41"/>
      <c r="G3" s="42"/>
      <c r="H3" s="37"/>
      <c r="I3" s="37"/>
      <c r="J3" s="37"/>
      <c r="K3" s="37"/>
      <c r="L3" s="37"/>
    </row>
    <row r="4" spans="1:12" s="38" customFormat="1" ht="13.5" customHeight="1">
      <c r="A4" s="140" t="s">
        <v>75</v>
      </c>
      <c r="B4" s="151">
        <v>2000</v>
      </c>
      <c r="C4" s="152"/>
      <c r="D4" s="151">
        <v>190</v>
      </c>
      <c r="E4" s="37"/>
      <c r="F4" s="45"/>
      <c r="G4" s="42"/>
      <c r="H4" s="37"/>
      <c r="I4" s="37"/>
      <c r="J4" s="37"/>
      <c r="K4" s="37"/>
      <c r="L4" s="37"/>
    </row>
    <row r="5" spans="1:14" s="38" customFormat="1" ht="13.5" customHeight="1">
      <c r="A5" s="140" t="s">
        <v>76</v>
      </c>
      <c r="B5" s="151">
        <v>4900</v>
      </c>
      <c r="C5" s="152"/>
      <c r="D5" s="151">
        <v>168</v>
      </c>
      <c r="E5" s="37"/>
      <c r="F5" s="41"/>
      <c r="G5" s="42"/>
      <c r="H5" s="37"/>
      <c r="I5" s="37"/>
      <c r="J5" s="37"/>
      <c r="K5" s="37"/>
      <c r="L5" s="37"/>
      <c r="M5" s="37"/>
      <c r="N5" s="37"/>
    </row>
    <row r="6" spans="1:14" s="38" customFormat="1" ht="13.5" customHeight="1">
      <c r="A6" s="140" t="s">
        <v>77</v>
      </c>
      <c r="B6" s="151">
        <v>4820</v>
      </c>
      <c r="C6" s="152"/>
      <c r="D6" s="151">
        <v>59</v>
      </c>
      <c r="E6" s="37"/>
      <c r="F6" s="41"/>
      <c r="G6" s="42"/>
      <c r="H6" s="37"/>
      <c r="I6" s="37"/>
      <c r="J6" s="37"/>
      <c r="K6" s="37"/>
      <c r="L6" s="37"/>
      <c r="M6" s="37"/>
      <c r="N6" s="37"/>
    </row>
    <row r="7" spans="1:14" s="38" customFormat="1" ht="13.5" customHeight="1">
      <c r="A7" s="140" t="s">
        <v>67</v>
      </c>
      <c r="B7" s="151">
        <v>2500</v>
      </c>
      <c r="C7" s="152"/>
      <c r="D7" s="151">
        <v>63</v>
      </c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s="49" customFormat="1" ht="13.5" customHeight="1">
      <c r="A8" s="46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38" customFormat="1" ht="13.5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s="38" customFormat="1" ht="13.5" customHeight="1" thickBot="1">
      <c r="A10" s="158" t="s">
        <v>64</v>
      </c>
      <c r="B10" s="158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26" ht="20.25" customHeight="1" thickBot="1">
      <c r="A11" s="51" t="s">
        <v>78</v>
      </c>
      <c r="B11" s="52"/>
      <c r="C11" s="53"/>
      <c r="D11" s="163" t="s">
        <v>2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5"/>
      <c r="P11" s="163" t="s">
        <v>3</v>
      </c>
      <c r="Q11" s="164"/>
      <c r="R11" s="164"/>
      <c r="S11" s="164"/>
      <c r="T11" s="164"/>
      <c r="U11" s="164"/>
      <c r="V11" s="164"/>
      <c r="W11" s="164"/>
      <c r="X11" s="164"/>
      <c r="Y11" s="164"/>
      <c r="Z11" s="165"/>
    </row>
    <row r="12" spans="1:26" ht="13.5" customHeight="1" thickBot="1">
      <c r="A12" s="54" t="s">
        <v>4</v>
      </c>
      <c r="B12" s="146">
        <f>INDEX('Bes-mielies'!Z9:AB14,MATCH('Pryse + Sensatiwiteitsanalise'!B16,Opbrengspeil,0),2)</f>
        <v>23374.711221921614</v>
      </c>
      <c r="C12" s="55"/>
      <c r="D12" s="56"/>
      <c r="E12" s="57"/>
      <c r="F12" s="58"/>
      <c r="G12" s="59"/>
      <c r="H12" s="58"/>
      <c r="I12" s="58"/>
      <c r="J12" s="58" t="s">
        <v>5</v>
      </c>
      <c r="K12" s="60"/>
      <c r="L12" s="58"/>
      <c r="M12" s="60"/>
      <c r="N12" s="58"/>
      <c r="P12" s="56"/>
      <c r="Q12" s="57"/>
      <c r="R12" s="58"/>
      <c r="S12" s="59"/>
      <c r="T12" s="58"/>
      <c r="U12" s="58"/>
      <c r="V12" s="58" t="s">
        <v>5</v>
      </c>
      <c r="W12" s="60"/>
      <c r="X12" s="58"/>
      <c r="Y12" s="60"/>
      <c r="Z12" s="58"/>
    </row>
    <row r="13" spans="1:26" ht="13.5" customHeight="1" thickBot="1">
      <c r="A13" s="61" t="s">
        <v>6</v>
      </c>
      <c r="B13" s="146">
        <f>INDEX('Bes-mielies'!Z9:AB14,MATCH('Pryse + Sensatiwiteitsanalise'!B16,Opbrengspeil,0),3)</f>
        <v>7305.268576559281</v>
      </c>
      <c r="C13" s="55"/>
      <c r="D13" s="163" t="s">
        <v>7</v>
      </c>
      <c r="E13" s="165"/>
      <c r="F13" s="62">
        <f>G13-250</f>
        <v>1000</v>
      </c>
      <c r="G13" s="62">
        <f>H13-250</f>
        <v>1250</v>
      </c>
      <c r="H13" s="62">
        <f>I13-250</f>
        <v>1500</v>
      </c>
      <c r="I13" s="62">
        <f>J13-250</f>
        <v>1750</v>
      </c>
      <c r="J13" s="63">
        <f>B18</f>
        <v>2000</v>
      </c>
      <c r="K13" s="62">
        <f>J13+250</f>
        <v>2250</v>
      </c>
      <c r="L13" s="62">
        <f>K13+250</f>
        <v>2500</v>
      </c>
      <c r="M13" s="62">
        <f>L13+250</f>
        <v>2750</v>
      </c>
      <c r="N13" s="62">
        <f>M13+250</f>
        <v>3000</v>
      </c>
      <c r="P13" s="163" t="s">
        <v>7</v>
      </c>
      <c r="Q13" s="165"/>
      <c r="R13" s="64">
        <f>S13-250</f>
        <v>1000</v>
      </c>
      <c r="S13" s="64">
        <f>T13-250</f>
        <v>1250</v>
      </c>
      <c r="T13" s="64">
        <f>U13-250</f>
        <v>1500</v>
      </c>
      <c r="U13" s="64">
        <f>V13-250</f>
        <v>1750</v>
      </c>
      <c r="V13" s="65">
        <f>J13</f>
        <v>2000</v>
      </c>
      <c r="W13" s="64">
        <f>V13+250</f>
        <v>2250</v>
      </c>
      <c r="X13" s="64">
        <f>W13+250</f>
        <v>2500</v>
      </c>
      <c r="Y13" s="64">
        <f>X13+250</f>
        <v>2750</v>
      </c>
      <c r="Z13" s="64">
        <f>Y13+250</f>
        <v>3000</v>
      </c>
    </row>
    <row r="14" spans="1:26" ht="13.5" customHeight="1" thickBot="1">
      <c r="A14" s="66" t="s">
        <v>8</v>
      </c>
      <c r="B14" s="147">
        <f>B13+B12</f>
        <v>30679.979798480897</v>
      </c>
      <c r="C14" s="68"/>
      <c r="D14" s="166" t="s">
        <v>9</v>
      </c>
      <c r="E14" s="167"/>
      <c r="F14" s="69">
        <f aca="true" t="shared" si="0" ref="F14:N14">F13-$B$19</f>
        <v>810</v>
      </c>
      <c r="G14" s="69">
        <f t="shared" si="0"/>
        <v>1060</v>
      </c>
      <c r="H14" s="69">
        <f t="shared" si="0"/>
        <v>1310</v>
      </c>
      <c r="I14" s="69">
        <f t="shared" si="0"/>
        <v>1560</v>
      </c>
      <c r="J14" s="70">
        <f>J13-$B$19</f>
        <v>1810</v>
      </c>
      <c r="K14" s="69">
        <f t="shared" si="0"/>
        <v>2060</v>
      </c>
      <c r="L14" s="69">
        <f t="shared" si="0"/>
        <v>2310</v>
      </c>
      <c r="M14" s="69">
        <f t="shared" si="0"/>
        <v>2560</v>
      </c>
      <c r="N14" s="69">
        <f t="shared" si="0"/>
        <v>2810</v>
      </c>
      <c r="P14" s="166" t="s">
        <v>9</v>
      </c>
      <c r="Q14" s="167"/>
      <c r="R14" s="69">
        <f aca="true" t="shared" si="1" ref="R14:Z14">R13-$B$19</f>
        <v>810</v>
      </c>
      <c r="S14" s="69">
        <f t="shared" si="1"/>
        <v>1060</v>
      </c>
      <c r="T14" s="69">
        <f t="shared" si="1"/>
        <v>1310</v>
      </c>
      <c r="U14" s="69">
        <f t="shared" si="1"/>
        <v>1560</v>
      </c>
      <c r="V14" s="71">
        <f t="shared" si="1"/>
        <v>1810</v>
      </c>
      <c r="W14" s="69">
        <f t="shared" si="1"/>
        <v>2060</v>
      </c>
      <c r="X14" s="69">
        <f t="shared" si="1"/>
        <v>2310</v>
      </c>
      <c r="Y14" s="69">
        <f t="shared" si="1"/>
        <v>2560</v>
      </c>
      <c r="Z14" s="69">
        <f t="shared" si="1"/>
        <v>2810</v>
      </c>
    </row>
    <row r="15" spans="1:26" ht="13.5" customHeight="1" thickBot="1">
      <c r="A15" s="72"/>
      <c r="B15" s="73"/>
      <c r="C15" s="55"/>
      <c r="D15" s="160" t="s">
        <v>10</v>
      </c>
      <c r="E15" s="74">
        <f>E16-0.5</f>
        <v>11</v>
      </c>
      <c r="F15" s="75">
        <f aca="true" t="shared" si="2" ref="F15:N19">F$14-($B$14/$E15)</f>
        <v>-1979.0890725891727</v>
      </c>
      <c r="G15" s="76">
        <f t="shared" si="2"/>
        <v>-1729.0890725891727</v>
      </c>
      <c r="H15" s="76">
        <f t="shared" si="2"/>
        <v>-1479.0890725891727</v>
      </c>
      <c r="I15" s="76">
        <f t="shared" si="2"/>
        <v>-1229.0890725891727</v>
      </c>
      <c r="J15" s="76">
        <f t="shared" si="2"/>
        <v>-979.0890725891727</v>
      </c>
      <c r="K15" s="76">
        <f t="shared" si="2"/>
        <v>-729.0890725891727</v>
      </c>
      <c r="L15" s="76">
        <f t="shared" si="2"/>
        <v>-479.0890725891727</v>
      </c>
      <c r="M15" s="77">
        <f t="shared" si="2"/>
        <v>-229.0890725891727</v>
      </c>
      <c r="N15" s="78">
        <f t="shared" si="2"/>
        <v>20.9109274108273</v>
      </c>
      <c r="P15" s="160" t="s">
        <v>10</v>
      </c>
      <c r="Q15" s="74">
        <f>Q16-0.5</f>
        <v>11</v>
      </c>
      <c r="R15" s="75">
        <f>R$14-($B$12/$E15)</f>
        <v>-1314.9737474474196</v>
      </c>
      <c r="S15" s="75">
        <f aca="true" t="shared" si="3" ref="S15:Z19">S$14-($B$12/$E15)</f>
        <v>-1064.9737474474196</v>
      </c>
      <c r="T15" s="75">
        <f t="shared" si="3"/>
        <v>-814.9737474474196</v>
      </c>
      <c r="U15" s="75">
        <f t="shared" si="3"/>
        <v>-564.9737474474196</v>
      </c>
      <c r="V15" s="75">
        <f t="shared" si="3"/>
        <v>-314.97374744741956</v>
      </c>
      <c r="W15" s="75">
        <f t="shared" si="3"/>
        <v>-64.97374744741956</v>
      </c>
      <c r="X15" s="75">
        <f t="shared" si="3"/>
        <v>185.02625255258044</v>
      </c>
      <c r="Y15" s="75">
        <f t="shared" si="3"/>
        <v>435.02625255258044</v>
      </c>
      <c r="Z15" s="75">
        <f t="shared" si="3"/>
        <v>685.0262525525804</v>
      </c>
    </row>
    <row r="16" spans="1:26" ht="13.5" customHeight="1" thickBot="1">
      <c r="A16" s="79" t="s">
        <v>11</v>
      </c>
      <c r="B16" s="153">
        <v>12</v>
      </c>
      <c r="C16" s="55"/>
      <c r="D16" s="161"/>
      <c r="E16" s="74">
        <f>E17-0.5</f>
        <v>11.5</v>
      </c>
      <c r="F16" s="80">
        <f t="shared" si="2"/>
        <v>-1857.8243303026866</v>
      </c>
      <c r="G16" s="81">
        <f t="shared" si="2"/>
        <v>-1607.8243303026866</v>
      </c>
      <c r="H16" s="81">
        <f t="shared" si="2"/>
        <v>-1357.8243303026866</v>
      </c>
      <c r="I16" s="81">
        <f t="shared" si="2"/>
        <v>-1107.8243303026866</v>
      </c>
      <c r="J16" s="81">
        <f t="shared" si="2"/>
        <v>-857.8243303026866</v>
      </c>
      <c r="K16" s="82">
        <f t="shared" si="2"/>
        <v>-607.8243303026866</v>
      </c>
      <c r="L16" s="82">
        <f t="shared" si="2"/>
        <v>-357.8243303026866</v>
      </c>
      <c r="M16" s="82">
        <f t="shared" si="2"/>
        <v>-107.82433030268658</v>
      </c>
      <c r="N16" s="83">
        <f t="shared" si="2"/>
        <v>142.17566969731342</v>
      </c>
      <c r="P16" s="161"/>
      <c r="Q16" s="74">
        <f>Q17-0.5</f>
        <v>11.5</v>
      </c>
      <c r="R16" s="75">
        <f>R$14-($B$12/$E16)</f>
        <v>-1222.583584514923</v>
      </c>
      <c r="S16" s="75">
        <f t="shared" si="3"/>
        <v>-972.5835845149229</v>
      </c>
      <c r="T16" s="75">
        <f t="shared" si="3"/>
        <v>-722.5835845149229</v>
      </c>
      <c r="U16" s="75">
        <f t="shared" si="3"/>
        <v>-472.5835845149229</v>
      </c>
      <c r="V16" s="75">
        <f t="shared" si="3"/>
        <v>-222.5835845149229</v>
      </c>
      <c r="W16" s="75">
        <f t="shared" si="3"/>
        <v>27.416415485077096</v>
      </c>
      <c r="X16" s="75">
        <f t="shared" si="3"/>
        <v>277.4164154850771</v>
      </c>
      <c r="Y16" s="75">
        <f t="shared" si="3"/>
        <v>527.4164154850771</v>
      </c>
      <c r="Z16" s="75">
        <f t="shared" si="3"/>
        <v>777.4164154850771</v>
      </c>
    </row>
    <row r="17" spans="1:26" ht="13.5" customHeight="1" thickBot="1">
      <c r="A17" s="72"/>
      <c r="B17" s="73"/>
      <c r="C17" s="55"/>
      <c r="D17" s="161"/>
      <c r="E17" s="84">
        <f>B16</f>
        <v>12</v>
      </c>
      <c r="F17" s="80">
        <f t="shared" si="2"/>
        <v>-1746.6649832067415</v>
      </c>
      <c r="G17" s="81">
        <f t="shared" si="2"/>
        <v>-1496.6649832067415</v>
      </c>
      <c r="H17" s="81">
        <f>H$14-($B$14/$E17)</f>
        <v>-1246.6649832067415</v>
      </c>
      <c r="I17" s="81">
        <f t="shared" si="2"/>
        <v>-996.6649832067415</v>
      </c>
      <c r="J17" s="82">
        <f t="shared" si="2"/>
        <v>-746.6649832067415</v>
      </c>
      <c r="K17" s="82">
        <f t="shared" si="2"/>
        <v>-496.66498320674145</v>
      </c>
      <c r="L17" s="82">
        <f t="shared" si="2"/>
        <v>-246.66498320674145</v>
      </c>
      <c r="M17" s="82">
        <f t="shared" si="2"/>
        <v>3.3350167932585464</v>
      </c>
      <c r="N17" s="83">
        <f t="shared" si="2"/>
        <v>253.33501679325855</v>
      </c>
      <c r="P17" s="161"/>
      <c r="Q17" s="84">
        <f>E17</f>
        <v>12</v>
      </c>
      <c r="R17" s="75">
        <f>R$14-($B$12/$E17)</f>
        <v>-1137.8926018268012</v>
      </c>
      <c r="S17" s="75">
        <f>S$14-($B$12/$E17)</f>
        <v>-887.8926018268012</v>
      </c>
      <c r="T17" s="75">
        <f t="shared" si="3"/>
        <v>-637.8926018268012</v>
      </c>
      <c r="U17" s="75">
        <f t="shared" si="3"/>
        <v>-387.8926018268012</v>
      </c>
      <c r="V17" s="75">
        <f>V$14-($B$12/$E17)</f>
        <v>-137.89260182680118</v>
      </c>
      <c r="W17" s="75">
        <f t="shared" si="3"/>
        <v>112.10739817319882</v>
      </c>
      <c r="X17" s="75">
        <f t="shared" si="3"/>
        <v>362.1073981731988</v>
      </c>
      <c r="Y17" s="75">
        <f t="shared" si="3"/>
        <v>612.1073981731988</v>
      </c>
      <c r="Z17" s="75">
        <f t="shared" si="3"/>
        <v>862.1073981731988</v>
      </c>
    </row>
    <row r="18" spans="1:26" ht="13.5" customHeight="1" thickBot="1">
      <c r="A18" s="85" t="s">
        <v>12</v>
      </c>
      <c r="B18" s="149">
        <f>$B$4</f>
        <v>2000</v>
      </c>
      <c r="C18" s="55"/>
      <c r="D18" s="161"/>
      <c r="E18" s="74">
        <f>E17+0.5</f>
        <v>12.5</v>
      </c>
      <c r="F18" s="80">
        <f t="shared" si="2"/>
        <v>-1644.3983838784716</v>
      </c>
      <c r="G18" s="81">
        <f t="shared" si="2"/>
        <v>-1394.3983838784716</v>
      </c>
      <c r="H18" s="81">
        <f t="shared" si="2"/>
        <v>-1144.3983838784716</v>
      </c>
      <c r="I18" s="82">
        <f t="shared" si="2"/>
        <v>-894.3983838784716</v>
      </c>
      <c r="J18" s="82">
        <f t="shared" si="2"/>
        <v>-644.3983838784716</v>
      </c>
      <c r="K18" s="82">
        <f t="shared" si="2"/>
        <v>-394.3983838784716</v>
      </c>
      <c r="L18" s="82">
        <f t="shared" si="2"/>
        <v>-144.39838387847158</v>
      </c>
      <c r="M18" s="82">
        <f t="shared" si="2"/>
        <v>105.60161612152842</v>
      </c>
      <c r="N18" s="83">
        <f t="shared" si="2"/>
        <v>355.6016161215284</v>
      </c>
      <c r="P18" s="161"/>
      <c r="Q18" s="74">
        <f>Q17+0.5</f>
        <v>12.5</v>
      </c>
      <c r="R18" s="75">
        <f>R$14-($B$12/$E18)</f>
        <v>-1059.9768977537292</v>
      </c>
      <c r="S18" s="75">
        <f t="shared" si="3"/>
        <v>-809.9768977537292</v>
      </c>
      <c r="T18" s="75">
        <f t="shared" si="3"/>
        <v>-559.9768977537292</v>
      </c>
      <c r="U18" s="75">
        <f t="shared" si="3"/>
        <v>-309.9768977537292</v>
      </c>
      <c r="V18" s="75">
        <f t="shared" si="3"/>
        <v>-59.97689775372919</v>
      </c>
      <c r="W18" s="75">
        <f t="shared" si="3"/>
        <v>190.0231022462708</v>
      </c>
      <c r="X18" s="75">
        <f t="shared" si="3"/>
        <v>440.0231022462708</v>
      </c>
      <c r="Y18" s="75">
        <f t="shared" si="3"/>
        <v>690.0231022462708</v>
      </c>
      <c r="Z18" s="75">
        <f t="shared" si="3"/>
        <v>940.0231022462708</v>
      </c>
    </row>
    <row r="19" spans="1:26" ht="13.5" customHeight="1" thickBot="1">
      <c r="A19" s="86" t="s">
        <v>13</v>
      </c>
      <c r="B19" s="149">
        <f>D4</f>
        <v>190</v>
      </c>
      <c r="C19" s="55"/>
      <c r="D19" s="162"/>
      <c r="E19" s="74">
        <f>E18+0.5</f>
        <v>13</v>
      </c>
      <c r="F19" s="87">
        <f t="shared" si="2"/>
        <v>-1549.998446036992</v>
      </c>
      <c r="G19" s="88">
        <f t="shared" si="2"/>
        <v>-1299.998446036992</v>
      </c>
      <c r="H19" s="89">
        <f t="shared" si="2"/>
        <v>-1049.998446036992</v>
      </c>
      <c r="I19" s="89">
        <f t="shared" si="2"/>
        <v>-799.9984460369919</v>
      </c>
      <c r="J19" s="89">
        <f t="shared" si="2"/>
        <v>-549.9984460369919</v>
      </c>
      <c r="K19" s="89">
        <f t="shared" si="2"/>
        <v>-299.99844603699194</v>
      </c>
      <c r="L19" s="89">
        <f t="shared" si="2"/>
        <v>-49.998446036991936</v>
      </c>
      <c r="M19" s="89">
        <f t="shared" si="2"/>
        <v>200.00155396300806</v>
      </c>
      <c r="N19" s="90">
        <f>N$14-($B$14/$E19)</f>
        <v>450.00155396300806</v>
      </c>
      <c r="P19" s="162"/>
      <c r="Q19" s="74">
        <f>Q18+0.5</f>
        <v>13</v>
      </c>
      <c r="R19" s="75">
        <f>R$14-($B$12/$E19)</f>
        <v>-988.0547093785858</v>
      </c>
      <c r="S19" s="75">
        <f>S$14-($B$12/$E19)</f>
        <v>-738.0547093785858</v>
      </c>
      <c r="T19" s="75">
        <f t="shared" si="3"/>
        <v>-488.0547093785858</v>
      </c>
      <c r="U19" s="75">
        <f t="shared" si="3"/>
        <v>-238.0547093785858</v>
      </c>
      <c r="V19" s="75">
        <f t="shared" si="3"/>
        <v>11.945290621414188</v>
      </c>
      <c r="W19" s="75">
        <f t="shared" si="3"/>
        <v>261.9452906214142</v>
      </c>
      <c r="X19" s="75">
        <f t="shared" si="3"/>
        <v>511.9452906214142</v>
      </c>
      <c r="Y19" s="75">
        <f t="shared" si="3"/>
        <v>761.9452906214142</v>
      </c>
      <c r="Z19" s="75">
        <f t="shared" si="3"/>
        <v>1011.9452906214142</v>
      </c>
    </row>
    <row r="20" spans="1:24" ht="13.5" customHeight="1" thickBot="1">
      <c r="A20" s="91" t="s">
        <v>14</v>
      </c>
      <c r="B20" s="150">
        <f>B18-B19</f>
        <v>1810</v>
      </c>
      <c r="C20" s="55"/>
      <c r="D20" s="93"/>
      <c r="E20" s="94"/>
      <c r="F20" s="95"/>
      <c r="G20" s="95"/>
      <c r="H20" s="95"/>
      <c r="I20" s="95"/>
      <c r="J20" s="95"/>
      <c r="K20" s="95"/>
      <c r="L20" s="95"/>
      <c r="P20" s="93"/>
      <c r="Q20" s="94"/>
      <c r="R20" s="95"/>
      <c r="S20" s="95"/>
      <c r="T20" s="95"/>
      <c r="U20" s="95"/>
      <c r="V20" s="95"/>
      <c r="W20" s="95"/>
      <c r="X20" s="95"/>
    </row>
    <row r="21" spans="1:24" s="48" customFormat="1" ht="13.5" customHeight="1">
      <c r="A21" s="96"/>
      <c r="B21" s="97"/>
      <c r="C21" s="98"/>
      <c r="D21" s="99"/>
      <c r="E21" s="100"/>
      <c r="F21" s="95"/>
      <c r="G21" s="95"/>
      <c r="H21" s="95"/>
      <c r="I21" s="95"/>
      <c r="J21" s="95"/>
      <c r="K21" s="95"/>
      <c r="L21" s="95"/>
      <c r="P21" s="99"/>
      <c r="Q21" s="100"/>
      <c r="R21" s="95"/>
      <c r="S21" s="95"/>
      <c r="T21" s="95"/>
      <c r="U21" s="95"/>
      <c r="V21" s="95"/>
      <c r="W21" s="95"/>
      <c r="X21" s="95"/>
    </row>
    <row r="22" spans="1:24" ht="13.5" customHeight="1">
      <c r="A22" s="96"/>
      <c r="B22" s="97"/>
      <c r="C22" s="55"/>
      <c r="D22" s="93"/>
      <c r="E22" s="94"/>
      <c r="F22" s="95"/>
      <c r="G22" s="95"/>
      <c r="H22" s="95"/>
      <c r="I22" s="95"/>
      <c r="J22" s="95"/>
      <c r="K22" s="95"/>
      <c r="L22" s="95"/>
      <c r="P22" s="93"/>
      <c r="Q22" s="94"/>
      <c r="R22" s="95"/>
      <c r="S22" s="95"/>
      <c r="T22" s="95"/>
      <c r="U22" s="95"/>
      <c r="V22" s="95"/>
      <c r="W22" s="95"/>
      <c r="X22" s="95"/>
    </row>
    <row r="23" spans="1:24" ht="13.5" customHeight="1" thickBot="1">
      <c r="A23" s="159" t="s">
        <v>65</v>
      </c>
      <c r="B23" s="159"/>
      <c r="D23" s="93"/>
      <c r="E23" s="94"/>
      <c r="F23" s="95"/>
      <c r="G23" s="95"/>
      <c r="H23" s="95"/>
      <c r="I23" s="95"/>
      <c r="J23" s="95"/>
      <c r="K23" s="95"/>
      <c r="L23" s="95"/>
      <c r="P23" s="93"/>
      <c r="Q23" s="94"/>
      <c r="R23" s="95"/>
      <c r="S23" s="95"/>
      <c r="T23" s="95"/>
      <c r="U23" s="95"/>
      <c r="V23" s="95"/>
      <c r="W23" s="95"/>
      <c r="X23" s="95"/>
    </row>
    <row r="24" spans="1:26" ht="18.75" customHeight="1" thickBot="1">
      <c r="A24" s="51" t="s">
        <v>79</v>
      </c>
      <c r="B24" s="52"/>
      <c r="C24" s="53"/>
      <c r="D24" s="163" t="s">
        <v>15</v>
      </c>
      <c r="E24" s="164"/>
      <c r="F24" s="164"/>
      <c r="G24" s="164"/>
      <c r="H24" s="164"/>
      <c r="I24" s="164"/>
      <c r="J24" s="164"/>
      <c r="K24" s="164"/>
      <c r="L24" s="164"/>
      <c r="M24" s="164"/>
      <c r="N24" s="165"/>
      <c r="P24" s="163" t="s">
        <v>16</v>
      </c>
      <c r="Q24" s="164"/>
      <c r="R24" s="164"/>
      <c r="S24" s="164"/>
      <c r="T24" s="164"/>
      <c r="U24" s="164"/>
      <c r="V24" s="164"/>
      <c r="W24" s="164"/>
      <c r="X24" s="164"/>
      <c r="Y24" s="164"/>
      <c r="Z24" s="165"/>
    </row>
    <row r="25" spans="1:26" ht="13.5" customHeight="1" thickBot="1">
      <c r="A25" s="54" t="s">
        <v>4</v>
      </c>
      <c r="B25" s="146">
        <f>INDEX('Bes-Sonneblom'!Z9:AB12,MATCH('Pryse + Sensatiwiteitsanalise'!B29,Sonopbrengspeil,0),2)</f>
        <v>7594.8455167798875</v>
      </c>
      <c r="C25" s="55"/>
      <c r="D25" s="56"/>
      <c r="E25" s="57"/>
      <c r="F25" s="58"/>
      <c r="G25" s="59"/>
      <c r="H25" s="58"/>
      <c r="I25" s="58"/>
      <c r="J25" s="58" t="s">
        <v>5</v>
      </c>
      <c r="K25" s="60"/>
      <c r="L25" s="58"/>
      <c r="M25" s="60"/>
      <c r="N25" s="58"/>
      <c r="P25" s="56"/>
      <c r="Q25" s="57"/>
      <c r="R25" s="58"/>
      <c r="S25" s="59"/>
      <c r="T25" s="58"/>
      <c r="U25" s="58"/>
      <c r="V25" s="58" t="s">
        <v>5</v>
      </c>
      <c r="W25" s="60"/>
      <c r="X25" s="58"/>
      <c r="Y25" s="60"/>
      <c r="Z25" s="58"/>
    </row>
    <row r="26" spans="1:26" ht="13.5" customHeight="1" thickBot="1">
      <c r="A26" s="61" t="s">
        <v>6</v>
      </c>
      <c r="B26" s="146">
        <f>INDEX('Bes-Sonneblom'!Z9:AB12,MATCH('Pryse + Sensatiwiteitsanalise'!$B$29,Sonopbrengspeil,0),3)</f>
        <v>7305.268576559281</v>
      </c>
      <c r="C26" s="55"/>
      <c r="D26" s="163" t="s">
        <v>7</v>
      </c>
      <c r="E26" s="165"/>
      <c r="F26" s="101">
        <f>G26-200</f>
        <v>4100</v>
      </c>
      <c r="G26" s="101">
        <f>H26-200</f>
        <v>4300</v>
      </c>
      <c r="H26" s="101">
        <f>I26-200</f>
        <v>4500</v>
      </c>
      <c r="I26" s="102">
        <f>J26-200</f>
        <v>4700</v>
      </c>
      <c r="J26" s="103">
        <f>B31</f>
        <v>4900</v>
      </c>
      <c r="K26" s="102">
        <f>J26+200</f>
        <v>5100</v>
      </c>
      <c r="L26" s="102">
        <f>K26+200</f>
        <v>5300</v>
      </c>
      <c r="M26" s="102">
        <f>L26+200</f>
        <v>5500</v>
      </c>
      <c r="N26" s="102">
        <f>M26+200</f>
        <v>5700</v>
      </c>
      <c r="P26" s="163" t="s">
        <v>7</v>
      </c>
      <c r="Q26" s="165"/>
      <c r="R26" s="101">
        <f>S26-200</f>
        <v>4100</v>
      </c>
      <c r="S26" s="101">
        <f>T26-200</f>
        <v>4300</v>
      </c>
      <c r="T26" s="101">
        <f>U26-200</f>
        <v>4500</v>
      </c>
      <c r="U26" s="102">
        <f>V26-200</f>
        <v>4700</v>
      </c>
      <c r="V26" s="103">
        <f>J26</f>
        <v>4900</v>
      </c>
      <c r="W26" s="102">
        <f>V26+200</f>
        <v>5100</v>
      </c>
      <c r="X26" s="102">
        <f>W26+200</f>
        <v>5300</v>
      </c>
      <c r="Y26" s="102">
        <f>X26+200</f>
        <v>5500</v>
      </c>
      <c r="Z26" s="102">
        <f>Y26+200</f>
        <v>5700</v>
      </c>
    </row>
    <row r="27" spans="1:26" ht="13.5" customHeight="1" thickBot="1">
      <c r="A27" s="66" t="s">
        <v>8</v>
      </c>
      <c r="B27" s="147">
        <f>B26+B25</f>
        <v>14900.114093339169</v>
      </c>
      <c r="C27" s="68"/>
      <c r="D27" s="166" t="s">
        <v>9</v>
      </c>
      <c r="E27" s="167"/>
      <c r="F27" s="104">
        <f aca="true" t="shared" si="4" ref="F27:N27">F26-$B$32</f>
        <v>3932</v>
      </c>
      <c r="G27" s="104">
        <f t="shared" si="4"/>
        <v>4132</v>
      </c>
      <c r="H27" s="104">
        <f t="shared" si="4"/>
        <v>4332</v>
      </c>
      <c r="I27" s="104">
        <f t="shared" si="4"/>
        <v>4532</v>
      </c>
      <c r="J27" s="105">
        <f t="shared" si="4"/>
        <v>4732</v>
      </c>
      <c r="K27" s="104">
        <f t="shared" si="4"/>
        <v>4932</v>
      </c>
      <c r="L27" s="104">
        <f t="shared" si="4"/>
        <v>5132</v>
      </c>
      <c r="M27" s="104">
        <f t="shared" si="4"/>
        <v>5332</v>
      </c>
      <c r="N27" s="104">
        <f t="shared" si="4"/>
        <v>5532</v>
      </c>
      <c r="P27" s="166" t="s">
        <v>9</v>
      </c>
      <c r="Q27" s="167"/>
      <c r="R27" s="104">
        <f aca="true" t="shared" si="5" ref="R27:Z27">R26-$B$32</f>
        <v>3932</v>
      </c>
      <c r="S27" s="104">
        <f t="shared" si="5"/>
        <v>4132</v>
      </c>
      <c r="T27" s="104">
        <f t="shared" si="5"/>
        <v>4332</v>
      </c>
      <c r="U27" s="104">
        <f t="shared" si="5"/>
        <v>4532</v>
      </c>
      <c r="V27" s="105">
        <f t="shared" si="5"/>
        <v>4732</v>
      </c>
      <c r="W27" s="104">
        <f t="shared" si="5"/>
        <v>4932</v>
      </c>
      <c r="X27" s="104">
        <f t="shared" si="5"/>
        <v>5132</v>
      </c>
      <c r="Y27" s="104">
        <f t="shared" si="5"/>
        <v>5332</v>
      </c>
      <c r="Z27" s="104">
        <f t="shared" si="5"/>
        <v>5532</v>
      </c>
    </row>
    <row r="28" spans="1:26" ht="13.5" customHeight="1" thickBot="1">
      <c r="A28" s="72"/>
      <c r="B28" s="73"/>
      <c r="C28" s="55"/>
      <c r="D28" s="160" t="s">
        <v>10</v>
      </c>
      <c r="E28" s="74">
        <f>E29-0.25</f>
        <v>1.5</v>
      </c>
      <c r="F28" s="75">
        <f aca="true" t="shared" si="6" ref="F28:M32">F$27-($B$27/$E28)</f>
        <v>-6001.409395559445</v>
      </c>
      <c r="G28" s="75">
        <f t="shared" si="6"/>
        <v>-5801.409395559445</v>
      </c>
      <c r="H28" s="75">
        <f t="shared" si="6"/>
        <v>-5601.409395559445</v>
      </c>
      <c r="I28" s="75">
        <f t="shared" si="6"/>
        <v>-5401.409395559445</v>
      </c>
      <c r="J28" s="75">
        <f t="shared" si="6"/>
        <v>-5201.409395559445</v>
      </c>
      <c r="K28" s="75">
        <f t="shared" si="6"/>
        <v>-5001.409395559445</v>
      </c>
      <c r="L28" s="75">
        <f t="shared" si="6"/>
        <v>-4801.409395559445</v>
      </c>
      <c r="M28" s="75">
        <f t="shared" si="6"/>
        <v>-4601.409395559445</v>
      </c>
      <c r="N28" s="75">
        <f>N$27-($B$27/$E28)</f>
        <v>-4401.409395559445</v>
      </c>
      <c r="P28" s="160" t="s">
        <v>10</v>
      </c>
      <c r="Q28" s="74">
        <f>Q29-0.25</f>
        <v>1.5</v>
      </c>
      <c r="R28" s="75">
        <f aca="true" t="shared" si="7" ref="R28:Y32">R$27-($B$25/$E28)</f>
        <v>-1131.230344519925</v>
      </c>
      <c r="S28" s="75">
        <f t="shared" si="7"/>
        <v>-931.230344519925</v>
      </c>
      <c r="T28" s="75">
        <f t="shared" si="7"/>
        <v>-731.230344519925</v>
      </c>
      <c r="U28" s="75">
        <f t="shared" si="7"/>
        <v>-531.230344519925</v>
      </c>
      <c r="V28" s="75">
        <f t="shared" si="7"/>
        <v>-331.230344519925</v>
      </c>
      <c r="W28" s="75">
        <f t="shared" si="7"/>
        <v>-131.23034451992498</v>
      </c>
      <c r="X28" s="75">
        <f t="shared" si="7"/>
        <v>68.76965548007502</v>
      </c>
      <c r="Y28" s="75">
        <f t="shared" si="7"/>
        <v>268.769655480075</v>
      </c>
      <c r="Z28" s="75">
        <f>Z$27-($B$25/$E28)</f>
        <v>468.769655480075</v>
      </c>
    </row>
    <row r="29" spans="1:26" ht="13.5" customHeight="1" thickBot="1">
      <c r="A29" s="79" t="s">
        <v>11</v>
      </c>
      <c r="B29" s="153">
        <v>2</v>
      </c>
      <c r="C29" s="55"/>
      <c r="D29" s="161"/>
      <c r="E29" s="74">
        <f>E30-0.25</f>
        <v>1.75</v>
      </c>
      <c r="F29" s="75">
        <f t="shared" si="6"/>
        <v>-4582.350910479525</v>
      </c>
      <c r="G29" s="75">
        <f t="shared" si="6"/>
        <v>-4382.350910479525</v>
      </c>
      <c r="H29" s="75">
        <f t="shared" si="6"/>
        <v>-4182.350910479525</v>
      </c>
      <c r="I29" s="75">
        <f t="shared" si="6"/>
        <v>-3982.350910479525</v>
      </c>
      <c r="J29" s="75">
        <f t="shared" si="6"/>
        <v>-3782.350910479525</v>
      </c>
      <c r="K29" s="75">
        <f t="shared" si="6"/>
        <v>-3582.350910479525</v>
      </c>
      <c r="L29" s="75">
        <f t="shared" si="6"/>
        <v>-3382.350910479525</v>
      </c>
      <c r="M29" s="75">
        <f t="shared" si="6"/>
        <v>-3182.350910479525</v>
      </c>
      <c r="N29" s="75">
        <f>N$27-($B$27/$E29)</f>
        <v>-2982.350910479525</v>
      </c>
      <c r="P29" s="161"/>
      <c r="Q29" s="74">
        <f>Q30-0.25</f>
        <v>1.75</v>
      </c>
      <c r="R29" s="75">
        <f t="shared" si="7"/>
        <v>-407.911723874221</v>
      </c>
      <c r="S29" s="75">
        <f t="shared" si="7"/>
        <v>-207.91172387422102</v>
      </c>
      <c r="T29" s="75">
        <f t="shared" si="7"/>
        <v>-7.911723874221025</v>
      </c>
      <c r="U29" s="75">
        <f t="shared" si="7"/>
        <v>192.08827612577898</v>
      </c>
      <c r="V29" s="75">
        <f t="shared" si="7"/>
        <v>392.088276125779</v>
      </c>
      <c r="W29" s="75">
        <f t="shared" si="7"/>
        <v>592.088276125779</v>
      </c>
      <c r="X29" s="75">
        <f t="shared" si="7"/>
        <v>792.088276125779</v>
      </c>
      <c r="Y29" s="75">
        <f t="shared" si="7"/>
        <v>992.088276125779</v>
      </c>
      <c r="Z29" s="75">
        <f>Z$27-($B$25/$E29)</f>
        <v>1192.088276125779</v>
      </c>
    </row>
    <row r="30" spans="1:26" ht="13.5" customHeight="1" thickBot="1">
      <c r="A30" s="72"/>
      <c r="B30" s="156"/>
      <c r="C30" s="55"/>
      <c r="D30" s="161"/>
      <c r="E30" s="84">
        <f>B29</f>
        <v>2</v>
      </c>
      <c r="F30" s="75">
        <f t="shared" si="6"/>
        <v>-3518.0570466695845</v>
      </c>
      <c r="G30" s="75">
        <f t="shared" si="6"/>
        <v>-3318.0570466695845</v>
      </c>
      <c r="H30" s="75">
        <f t="shared" si="6"/>
        <v>-3118.0570466695845</v>
      </c>
      <c r="I30" s="75">
        <f t="shared" si="6"/>
        <v>-2918.0570466695845</v>
      </c>
      <c r="J30" s="75">
        <f t="shared" si="6"/>
        <v>-2718.0570466695845</v>
      </c>
      <c r="K30" s="75">
        <f t="shared" si="6"/>
        <v>-2518.0570466695845</v>
      </c>
      <c r="L30" s="75">
        <f t="shared" si="6"/>
        <v>-2318.0570466695845</v>
      </c>
      <c r="M30" s="75">
        <f t="shared" si="6"/>
        <v>-2118.0570466695845</v>
      </c>
      <c r="N30" s="75">
        <f>N$27-($B$27/$E30)</f>
        <v>-1918.0570466695845</v>
      </c>
      <c r="P30" s="161"/>
      <c r="Q30" s="84">
        <f>E30</f>
        <v>2</v>
      </c>
      <c r="R30" s="75">
        <f t="shared" si="7"/>
        <v>134.57724161005626</v>
      </c>
      <c r="S30" s="75">
        <f>S$27-($B$25/$E30)</f>
        <v>334.57724161005626</v>
      </c>
      <c r="T30" s="75">
        <f t="shared" si="7"/>
        <v>534.5772416100563</v>
      </c>
      <c r="U30" s="75">
        <f t="shared" si="7"/>
        <v>734.5772416100563</v>
      </c>
      <c r="V30" s="75">
        <f t="shared" si="7"/>
        <v>934.5772416100563</v>
      </c>
      <c r="W30" s="75">
        <f t="shared" si="7"/>
        <v>1134.5772416100563</v>
      </c>
      <c r="X30" s="75">
        <f t="shared" si="7"/>
        <v>1334.5772416100563</v>
      </c>
      <c r="Y30" s="75">
        <f t="shared" si="7"/>
        <v>1534.5772416100563</v>
      </c>
      <c r="Z30" s="75">
        <f>Z$27-($B$25/$E30)</f>
        <v>1734.5772416100563</v>
      </c>
    </row>
    <row r="31" spans="1:26" ht="13.5" customHeight="1" thickBot="1">
      <c r="A31" s="85" t="s">
        <v>12</v>
      </c>
      <c r="B31" s="157">
        <f>B5</f>
        <v>4900</v>
      </c>
      <c r="C31" s="55"/>
      <c r="D31" s="161"/>
      <c r="E31" s="74">
        <f>E30+0.25</f>
        <v>2.25</v>
      </c>
      <c r="F31" s="75">
        <f t="shared" si="6"/>
        <v>-2690.272930372964</v>
      </c>
      <c r="G31" s="75">
        <f t="shared" si="6"/>
        <v>-2490.272930372964</v>
      </c>
      <c r="H31" s="75">
        <f t="shared" si="6"/>
        <v>-2290.272930372964</v>
      </c>
      <c r="I31" s="75">
        <f t="shared" si="6"/>
        <v>-2090.272930372964</v>
      </c>
      <c r="J31" s="75">
        <f t="shared" si="6"/>
        <v>-1890.2729303729639</v>
      </c>
      <c r="K31" s="75">
        <f t="shared" si="6"/>
        <v>-1690.2729303729639</v>
      </c>
      <c r="L31" s="75">
        <f t="shared" si="6"/>
        <v>-1490.2729303729639</v>
      </c>
      <c r="M31" s="75">
        <f t="shared" si="6"/>
        <v>-1290.2729303729639</v>
      </c>
      <c r="N31" s="75">
        <f>N$27-($B$27/$E31)</f>
        <v>-1090.2729303729639</v>
      </c>
      <c r="P31" s="161"/>
      <c r="Q31" s="74">
        <f>Q30+0.25</f>
        <v>2.25</v>
      </c>
      <c r="R31" s="75">
        <f t="shared" si="7"/>
        <v>556.5131036533835</v>
      </c>
      <c r="S31" s="75">
        <f t="shared" si="7"/>
        <v>756.5131036533835</v>
      </c>
      <c r="T31" s="75">
        <f t="shared" si="7"/>
        <v>956.5131036533835</v>
      </c>
      <c r="U31" s="75">
        <f t="shared" si="7"/>
        <v>1156.5131036533835</v>
      </c>
      <c r="V31" s="75">
        <f t="shared" si="7"/>
        <v>1356.5131036533835</v>
      </c>
      <c r="W31" s="75">
        <f t="shared" si="7"/>
        <v>1556.5131036533835</v>
      </c>
      <c r="X31" s="75">
        <f t="shared" si="7"/>
        <v>1756.5131036533835</v>
      </c>
      <c r="Y31" s="75">
        <f t="shared" si="7"/>
        <v>1956.5131036533835</v>
      </c>
      <c r="Z31" s="75">
        <f>Z$27-($B$25/$E31)</f>
        <v>2156.5131036533835</v>
      </c>
    </row>
    <row r="32" spans="1:26" ht="13.5" customHeight="1" thickBot="1">
      <c r="A32" s="86" t="s">
        <v>13</v>
      </c>
      <c r="B32" s="157">
        <f>D5</f>
        <v>168</v>
      </c>
      <c r="C32" s="55"/>
      <c r="D32" s="162"/>
      <c r="E32" s="74">
        <f>E31+0.25</f>
        <v>2.5</v>
      </c>
      <c r="F32" s="75">
        <f t="shared" si="6"/>
        <v>-2028.0456373356674</v>
      </c>
      <c r="G32" s="75">
        <f t="shared" si="6"/>
        <v>-1828.0456373356674</v>
      </c>
      <c r="H32" s="75">
        <f t="shared" si="6"/>
        <v>-1628.0456373356674</v>
      </c>
      <c r="I32" s="75">
        <f t="shared" si="6"/>
        <v>-1428.0456373356674</v>
      </c>
      <c r="J32" s="75">
        <f t="shared" si="6"/>
        <v>-1228.0456373356674</v>
      </c>
      <c r="K32" s="75">
        <f t="shared" si="6"/>
        <v>-1028.0456373356674</v>
      </c>
      <c r="L32" s="75">
        <f t="shared" si="6"/>
        <v>-828.0456373356674</v>
      </c>
      <c r="M32" s="75">
        <f t="shared" si="6"/>
        <v>-628.0456373356674</v>
      </c>
      <c r="N32" s="75">
        <f>N$27-($B$27/$E32)</f>
        <v>-428.0456373356674</v>
      </c>
      <c r="P32" s="162"/>
      <c r="Q32" s="74">
        <f>Q31+0.25</f>
        <v>2.5</v>
      </c>
      <c r="R32" s="75">
        <f t="shared" si="7"/>
        <v>894.061793288045</v>
      </c>
      <c r="S32" s="75">
        <f t="shared" si="7"/>
        <v>1094.061793288045</v>
      </c>
      <c r="T32" s="75">
        <f t="shared" si="7"/>
        <v>1294.061793288045</v>
      </c>
      <c r="U32" s="75">
        <f t="shared" si="7"/>
        <v>1494.061793288045</v>
      </c>
      <c r="V32" s="75">
        <f t="shared" si="7"/>
        <v>1694.061793288045</v>
      </c>
      <c r="W32" s="75">
        <f t="shared" si="7"/>
        <v>1894.061793288045</v>
      </c>
      <c r="X32" s="75">
        <f t="shared" si="7"/>
        <v>2094.061793288045</v>
      </c>
      <c r="Y32" s="75">
        <f t="shared" si="7"/>
        <v>2294.061793288045</v>
      </c>
      <c r="Z32" s="75">
        <f>Z$27-($B$25/$E32)</f>
        <v>2494.061793288045</v>
      </c>
    </row>
    <row r="33" spans="1:24" ht="13.5" customHeight="1" thickBot="1">
      <c r="A33" s="91" t="s">
        <v>14</v>
      </c>
      <c r="B33" s="148">
        <f>B31-B32</f>
        <v>4732</v>
      </c>
      <c r="C33" s="55"/>
      <c r="D33" s="93"/>
      <c r="E33" s="94"/>
      <c r="F33" s="95"/>
      <c r="G33" s="95"/>
      <c r="H33" s="95"/>
      <c r="I33" s="95"/>
      <c r="J33" s="95"/>
      <c r="K33" s="95"/>
      <c r="L33" s="95"/>
      <c r="P33" s="93"/>
      <c r="Q33" s="94"/>
      <c r="R33" s="95"/>
      <c r="S33" s="95"/>
      <c r="T33" s="95"/>
      <c r="U33" s="95"/>
      <c r="V33" s="95"/>
      <c r="W33" s="95"/>
      <c r="X33" s="95"/>
    </row>
    <row r="34" spans="1:24" ht="13.5" customHeight="1">
      <c r="A34" s="96"/>
      <c r="B34" s="97"/>
      <c r="C34" s="55"/>
      <c r="D34" s="93"/>
      <c r="E34" s="94"/>
      <c r="F34" s="95"/>
      <c r="G34" s="95"/>
      <c r="H34" s="95"/>
      <c r="I34" s="95"/>
      <c r="J34" s="95"/>
      <c r="K34" s="95"/>
      <c r="L34" s="95"/>
      <c r="P34" s="93"/>
      <c r="Q34" s="94"/>
      <c r="R34" s="95"/>
      <c r="S34" s="95"/>
      <c r="T34" s="95"/>
      <c r="U34" s="95"/>
      <c r="V34" s="95"/>
      <c r="W34" s="95"/>
      <c r="X34" s="95"/>
    </row>
    <row r="35" spans="1:24" ht="13.5" customHeight="1">
      <c r="A35" s="48"/>
      <c r="B35" s="48"/>
      <c r="D35" s="93"/>
      <c r="E35" s="94"/>
      <c r="F35" s="95"/>
      <c r="G35" s="95"/>
      <c r="H35" s="95"/>
      <c r="I35" s="95"/>
      <c r="J35" s="95"/>
      <c r="K35" s="95"/>
      <c r="L35" s="95"/>
      <c r="P35" s="93"/>
      <c r="Q35" s="94"/>
      <c r="R35" s="95"/>
      <c r="S35" s="95"/>
      <c r="T35" s="95"/>
      <c r="U35" s="95"/>
      <c r="V35" s="95"/>
      <c r="W35" s="95"/>
      <c r="X35" s="95"/>
    </row>
    <row r="36" spans="1:2" ht="13.5" customHeight="1" thickBot="1">
      <c r="A36" s="159" t="s">
        <v>66</v>
      </c>
      <c r="B36" s="159"/>
    </row>
    <row r="37" spans="1:26" ht="19.5" customHeight="1" thickBot="1">
      <c r="A37" s="51" t="s">
        <v>80</v>
      </c>
      <c r="B37" s="52"/>
      <c r="C37" s="53"/>
      <c r="D37" s="163" t="s">
        <v>17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5"/>
      <c r="P37" s="163" t="s">
        <v>18</v>
      </c>
      <c r="Q37" s="164"/>
      <c r="R37" s="164"/>
      <c r="S37" s="164"/>
      <c r="T37" s="164"/>
      <c r="U37" s="164"/>
      <c r="V37" s="164"/>
      <c r="W37" s="164"/>
      <c r="X37" s="164"/>
      <c r="Y37" s="164"/>
      <c r="Z37" s="165"/>
    </row>
    <row r="38" spans="1:26" ht="13.5" customHeight="1" thickBot="1">
      <c r="A38" s="54" t="s">
        <v>4</v>
      </c>
      <c r="B38" s="145">
        <f>INDEX('Bes-soja'!Z9:AB14,MATCH('Pryse + Sensatiwiteitsanalise'!B42,Sojaopbrengspeil,0),2)</f>
        <v>13333.054704371325</v>
      </c>
      <c r="C38" s="106"/>
      <c r="D38" s="56"/>
      <c r="E38" s="57"/>
      <c r="F38" s="58"/>
      <c r="G38" s="59"/>
      <c r="H38" s="58"/>
      <c r="I38" s="58"/>
      <c r="J38" s="58" t="s">
        <v>19</v>
      </c>
      <c r="K38" s="60"/>
      <c r="L38" s="58"/>
      <c r="M38" s="60"/>
      <c r="N38" s="58"/>
      <c r="P38" s="56"/>
      <c r="Q38" s="57"/>
      <c r="R38" s="58"/>
      <c r="S38" s="59"/>
      <c r="T38" s="58"/>
      <c r="U38" s="58"/>
      <c r="V38" s="58" t="s">
        <v>19</v>
      </c>
      <c r="W38" s="60"/>
      <c r="X38" s="58"/>
      <c r="Y38" s="60"/>
      <c r="Z38" s="58"/>
    </row>
    <row r="39" spans="1:26" ht="13.5" customHeight="1" thickBot="1">
      <c r="A39" s="61" t="s">
        <v>6</v>
      </c>
      <c r="B39" s="145">
        <f>INDEX('Bes-soja'!Z9:AB14,MATCH('Pryse + Sensatiwiteitsanalise'!$B$42,Sojaopbrengspeil,0),3)</f>
        <v>7305.268576559281</v>
      </c>
      <c r="C39" s="106"/>
      <c r="D39" s="163" t="s">
        <v>7</v>
      </c>
      <c r="E39" s="165"/>
      <c r="F39" s="64">
        <f>G39-200</f>
        <v>4020</v>
      </c>
      <c r="G39" s="64">
        <f>H39-200</f>
        <v>4220</v>
      </c>
      <c r="H39" s="64">
        <f>I39-200</f>
        <v>4420</v>
      </c>
      <c r="I39" s="64">
        <f>J39-200</f>
        <v>4620</v>
      </c>
      <c r="J39" s="63">
        <f>B44</f>
        <v>4820</v>
      </c>
      <c r="K39" s="64">
        <f>J39+200</f>
        <v>5020</v>
      </c>
      <c r="L39" s="64">
        <f>K39+200</f>
        <v>5220</v>
      </c>
      <c r="M39" s="64">
        <f>L39+200</f>
        <v>5420</v>
      </c>
      <c r="N39" s="64">
        <f>M39+200</f>
        <v>5620</v>
      </c>
      <c r="P39" s="163" t="s">
        <v>7</v>
      </c>
      <c r="Q39" s="165"/>
      <c r="R39" s="64">
        <f>S39-200</f>
        <v>4020</v>
      </c>
      <c r="S39" s="64">
        <f>T39-200</f>
        <v>4220</v>
      </c>
      <c r="T39" s="64">
        <f>U39-200</f>
        <v>4420</v>
      </c>
      <c r="U39" s="64">
        <f>V39-200</f>
        <v>4620</v>
      </c>
      <c r="V39" s="65">
        <f>J39</f>
        <v>4820</v>
      </c>
      <c r="W39" s="64">
        <f>V39+200</f>
        <v>5020</v>
      </c>
      <c r="X39" s="64">
        <f>W39+200</f>
        <v>5220</v>
      </c>
      <c r="Y39" s="64">
        <f>X39+200</f>
        <v>5420</v>
      </c>
      <c r="Z39" s="64">
        <f>Y39+200</f>
        <v>5620</v>
      </c>
    </row>
    <row r="40" spans="1:26" ht="13.5" customHeight="1" thickBot="1">
      <c r="A40" s="66" t="s">
        <v>8</v>
      </c>
      <c r="B40" s="67">
        <f>B39+B38</f>
        <v>20638.323280930606</v>
      </c>
      <c r="C40" s="107"/>
      <c r="D40" s="166" t="s">
        <v>9</v>
      </c>
      <c r="E40" s="167"/>
      <c r="F40" s="108">
        <f aca="true" t="shared" si="8" ref="F40:N40">F39-$B$45</f>
        <v>3961</v>
      </c>
      <c r="G40" s="69">
        <f t="shared" si="8"/>
        <v>4161</v>
      </c>
      <c r="H40" s="69">
        <f t="shared" si="8"/>
        <v>4361</v>
      </c>
      <c r="I40" s="69">
        <f t="shared" si="8"/>
        <v>4561</v>
      </c>
      <c r="J40" s="71">
        <f t="shared" si="8"/>
        <v>4761</v>
      </c>
      <c r="K40" s="69">
        <f t="shared" si="8"/>
        <v>4961</v>
      </c>
      <c r="L40" s="69">
        <f t="shared" si="8"/>
        <v>5161</v>
      </c>
      <c r="M40" s="69">
        <f t="shared" si="8"/>
        <v>5361</v>
      </c>
      <c r="N40" s="69">
        <f t="shared" si="8"/>
        <v>5561</v>
      </c>
      <c r="P40" s="166" t="s">
        <v>9</v>
      </c>
      <c r="Q40" s="167"/>
      <c r="R40" s="69">
        <f aca="true" t="shared" si="9" ref="R40:Z40">R39-$B$45</f>
        <v>3961</v>
      </c>
      <c r="S40" s="69">
        <f t="shared" si="9"/>
        <v>4161</v>
      </c>
      <c r="T40" s="69">
        <f t="shared" si="9"/>
        <v>4361</v>
      </c>
      <c r="U40" s="69">
        <f t="shared" si="9"/>
        <v>4561</v>
      </c>
      <c r="V40" s="71">
        <f t="shared" si="9"/>
        <v>4761</v>
      </c>
      <c r="W40" s="69">
        <f t="shared" si="9"/>
        <v>4961</v>
      </c>
      <c r="X40" s="69">
        <f t="shared" si="9"/>
        <v>5161</v>
      </c>
      <c r="Y40" s="69">
        <f t="shared" si="9"/>
        <v>5361</v>
      </c>
      <c r="Z40" s="69">
        <f t="shared" si="9"/>
        <v>5561</v>
      </c>
    </row>
    <row r="41" spans="1:26" ht="13.5" customHeight="1" thickBot="1">
      <c r="A41" s="72"/>
      <c r="B41" s="73"/>
      <c r="C41" s="109"/>
      <c r="D41" s="160" t="s">
        <v>10</v>
      </c>
      <c r="E41" s="74">
        <f>E42-0.25</f>
        <v>3</v>
      </c>
      <c r="F41" s="75">
        <f>F$40-($B$40/$E41)</f>
        <v>-2918.441093643535</v>
      </c>
      <c r="G41" s="76">
        <f aca="true" t="shared" si="10" ref="F41:N45">G$40-($B$40/$E41)</f>
        <v>-2718.441093643535</v>
      </c>
      <c r="H41" s="76">
        <f t="shared" si="10"/>
        <v>-2518.441093643535</v>
      </c>
      <c r="I41" s="76">
        <f t="shared" si="10"/>
        <v>-2318.441093643535</v>
      </c>
      <c r="J41" s="76">
        <f t="shared" si="10"/>
        <v>-2118.441093643535</v>
      </c>
      <c r="K41" s="76">
        <f t="shared" si="10"/>
        <v>-1918.4410936435352</v>
      </c>
      <c r="L41" s="76">
        <f t="shared" si="10"/>
        <v>-1718.4410936435352</v>
      </c>
      <c r="M41" s="77">
        <f t="shared" si="10"/>
        <v>-1518.4410936435352</v>
      </c>
      <c r="N41" s="78">
        <f t="shared" si="10"/>
        <v>-1318.4410936435352</v>
      </c>
      <c r="P41" s="160" t="s">
        <v>10</v>
      </c>
      <c r="Q41" s="74">
        <f>Q42-0.25</f>
        <v>3</v>
      </c>
      <c r="R41" s="75">
        <f>R$40-($B$38/$E41)</f>
        <v>-483.351568123775</v>
      </c>
      <c r="S41" s="75">
        <f aca="true" t="shared" si="11" ref="S41:Z41">S$40-($B$38/$E41)</f>
        <v>-283.351568123775</v>
      </c>
      <c r="T41" s="75">
        <f t="shared" si="11"/>
        <v>-83.351568123775</v>
      </c>
      <c r="U41" s="75">
        <f t="shared" si="11"/>
        <v>116.648431876225</v>
      </c>
      <c r="V41" s="75">
        <f t="shared" si="11"/>
        <v>316.648431876225</v>
      </c>
      <c r="W41" s="75">
        <f t="shared" si="11"/>
        <v>516.648431876225</v>
      </c>
      <c r="X41" s="75">
        <f t="shared" si="11"/>
        <v>716.648431876225</v>
      </c>
      <c r="Y41" s="75">
        <f t="shared" si="11"/>
        <v>916.648431876225</v>
      </c>
      <c r="Z41" s="75">
        <f t="shared" si="11"/>
        <v>1116.648431876225</v>
      </c>
    </row>
    <row r="42" spans="1:26" ht="13.5" customHeight="1" thickBot="1">
      <c r="A42" s="79" t="s">
        <v>11</v>
      </c>
      <c r="B42" s="153">
        <f>'Bes-soja'!F5</f>
        <v>3.5</v>
      </c>
      <c r="C42" s="110"/>
      <c r="D42" s="161"/>
      <c r="E42" s="74">
        <f>E43-0.25</f>
        <v>3.25</v>
      </c>
      <c r="F42" s="80">
        <f t="shared" si="10"/>
        <v>-2389.253317209417</v>
      </c>
      <c r="G42" s="81">
        <f t="shared" si="10"/>
        <v>-2189.253317209417</v>
      </c>
      <c r="H42" s="81">
        <f t="shared" si="10"/>
        <v>-1989.2533172094172</v>
      </c>
      <c r="I42" s="81">
        <f t="shared" si="10"/>
        <v>-1789.2533172094172</v>
      </c>
      <c r="J42" s="81">
        <f t="shared" si="10"/>
        <v>-1589.2533172094172</v>
      </c>
      <c r="K42" s="82">
        <f t="shared" si="10"/>
        <v>-1389.2533172094172</v>
      </c>
      <c r="L42" s="82">
        <f t="shared" si="10"/>
        <v>-1189.2533172094172</v>
      </c>
      <c r="M42" s="82">
        <f t="shared" si="10"/>
        <v>-989.2533172094172</v>
      </c>
      <c r="N42" s="83">
        <f t="shared" si="10"/>
        <v>-789.2533172094172</v>
      </c>
      <c r="P42" s="161"/>
      <c r="Q42" s="74">
        <f>Q43-0.25</f>
        <v>3.25</v>
      </c>
      <c r="R42" s="75">
        <f aca="true" t="shared" si="12" ref="R42:Z45">R$40-($B$38/$E42)</f>
        <v>-141.47837057579272</v>
      </c>
      <c r="S42" s="75">
        <f t="shared" si="12"/>
        <v>58.521629424207276</v>
      </c>
      <c r="T42" s="75">
        <f t="shared" si="12"/>
        <v>258.5216294242073</v>
      </c>
      <c r="U42" s="75">
        <f t="shared" si="12"/>
        <v>458.5216294242073</v>
      </c>
      <c r="V42" s="75">
        <f t="shared" si="12"/>
        <v>658.5216294242073</v>
      </c>
      <c r="W42" s="75">
        <f t="shared" si="12"/>
        <v>858.5216294242073</v>
      </c>
      <c r="X42" s="75">
        <f t="shared" si="12"/>
        <v>1058.5216294242073</v>
      </c>
      <c r="Y42" s="75">
        <f t="shared" si="12"/>
        <v>1258.5216294242073</v>
      </c>
      <c r="Z42" s="75">
        <f t="shared" si="12"/>
        <v>1458.5216294242073</v>
      </c>
    </row>
    <row r="43" spans="1:26" ht="13.5" customHeight="1" thickBot="1">
      <c r="A43" s="72"/>
      <c r="B43" s="73"/>
      <c r="C43" s="109"/>
      <c r="D43" s="161"/>
      <c r="E43" s="84">
        <f>B42</f>
        <v>3.5</v>
      </c>
      <c r="F43" s="80">
        <f t="shared" si="10"/>
        <v>-1935.6637945516022</v>
      </c>
      <c r="G43" s="81">
        <f t="shared" si="10"/>
        <v>-1735.6637945516022</v>
      </c>
      <c r="H43" s="81">
        <f t="shared" si="10"/>
        <v>-1535.6637945516022</v>
      </c>
      <c r="I43" s="81">
        <f>I$40-($B$40/$E43)</f>
        <v>-1335.6637945516022</v>
      </c>
      <c r="J43" s="82">
        <f t="shared" si="10"/>
        <v>-1135.6637945516022</v>
      </c>
      <c r="K43" s="82">
        <f t="shared" si="10"/>
        <v>-935.6637945516022</v>
      </c>
      <c r="L43" s="82">
        <f t="shared" si="10"/>
        <v>-735.6637945516022</v>
      </c>
      <c r="M43" s="82">
        <f t="shared" si="10"/>
        <v>-535.6637945516022</v>
      </c>
      <c r="N43" s="83">
        <f t="shared" si="10"/>
        <v>-335.6637945516022</v>
      </c>
      <c r="P43" s="161"/>
      <c r="Q43" s="84">
        <f>E43</f>
        <v>3.5</v>
      </c>
      <c r="R43" s="75">
        <f>R$40-($B$38/$E43)</f>
        <v>151.55579875105013</v>
      </c>
      <c r="S43" s="75">
        <f>S$40-($B$38/$E43)</f>
        <v>351.55579875105013</v>
      </c>
      <c r="T43" s="75">
        <f t="shared" si="12"/>
        <v>551.5557987510501</v>
      </c>
      <c r="U43" s="75">
        <f t="shared" si="12"/>
        <v>751.5557987510501</v>
      </c>
      <c r="V43" s="75">
        <f t="shared" si="12"/>
        <v>951.5557987510501</v>
      </c>
      <c r="W43" s="75">
        <f t="shared" si="12"/>
        <v>1151.5557987510501</v>
      </c>
      <c r="X43" s="75">
        <f t="shared" si="12"/>
        <v>1351.5557987510501</v>
      </c>
      <c r="Y43" s="75">
        <f t="shared" si="12"/>
        <v>1551.5557987510501</v>
      </c>
      <c r="Z43" s="75">
        <f t="shared" si="12"/>
        <v>1751.5557987510501</v>
      </c>
    </row>
    <row r="44" spans="1:26" ht="13.5" customHeight="1" thickBot="1">
      <c r="A44" s="85" t="s">
        <v>20</v>
      </c>
      <c r="B44" s="154">
        <f>B6</f>
        <v>4820</v>
      </c>
      <c r="C44" s="109"/>
      <c r="D44" s="161"/>
      <c r="E44" s="74">
        <f>E43+0.25</f>
        <v>3.75</v>
      </c>
      <c r="F44" s="80">
        <f t="shared" si="10"/>
        <v>-1542.552874914828</v>
      </c>
      <c r="G44" s="81">
        <f t="shared" si="10"/>
        <v>-1342.552874914828</v>
      </c>
      <c r="H44" s="81">
        <f t="shared" si="10"/>
        <v>-1142.552874914828</v>
      </c>
      <c r="I44" s="82">
        <f t="shared" si="10"/>
        <v>-942.552874914828</v>
      </c>
      <c r="J44" s="82">
        <f t="shared" si="10"/>
        <v>-742.552874914828</v>
      </c>
      <c r="K44" s="82">
        <f t="shared" si="10"/>
        <v>-542.552874914828</v>
      </c>
      <c r="L44" s="82">
        <f t="shared" si="10"/>
        <v>-342.55287491482795</v>
      </c>
      <c r="M44" s="82">
        <f t="shared" si="10"/>
        <v>-142.55287491482795</v>
      </c>
      <c r="N44" s="83">
        <f t="shared" si="10"/>
        <v>57.44712508517205</v>
      </c>
      <c r="P44" s="161"/>
      <c r="Q44" s="74">
        <f>Q43+0.25</f>
        <v>3.75</v>
      </c>
      <c r="R44" s="75">
        <f t="shared" si="12"/>
        <v>405.51874550098</v>
      </c>
      <c r="S44" s="75">
        <f t="shared" si="12"/>
        <v>605.51874550098</v>
      </c>
      <c r="T44" s="75">
        <f t="shared" si="12"/>
        <v>805.51874550098</v>
      </c>
      <c r="U44" s="75">
        <f t="shared" si="12"/>
        <v>1005.51874550098</v>
      </c>
      <c r="V44" s="75">
        <f t="shared" si="12"/>
        <v>1205.51874550098</v>
      </c>
      <c r="W44" s="75">
        <f t="shared" si="12"/>
        <v>1405.51874550098</v>
      </c>
      <c r="X44" s="75">
        <f t="shared" si="12"/>
        <v>1605.51874550098</v>
      </c>
      <c r="Y44" s="75">
        <f t="shared" si="12"/>
        <v>1805.51874550098</v>
      </c>
      <c r="Z44" s="75">
        <f t="shared" si="12"/>
        <v>2005.51874550098</v>
      </c>
    </row>
    <row r="45" spans="1:26" ht="13.5" customHeight="1" thickBot="1">
      <c r="A45" s="86" t="s">
        <v>13</v>
      </c>
      <c r="B45" s="155">
        <f>D6</f>
        <v>59</v>
      </c>
      <c r="C45" s="111"/>
      <c r="D45" s="162"/>
      <c r="E45" s="74">
        <f>E44+0.25</f>
        <v>4</v>
      </c>
      <c r="F45" s="87">
        <f t="shared" si="10"/>
        <v>-1198.5808202326516</v>
      </c>
      <c r="G45" s="88">
        <f t="shared" si="10"/>
        <v>-998.5808202326516</v>
      </c>
      <c r="H45" s="89">
        <f t="shared" si="10"/>
        <v>-798.5808202326516</v>
      </c>
      <c r="I45" s="89">
        <f t="shared" si="10"/>
        <v>-598.5808202326516</v>
      </c>
      <c r="J45" s="89">
        <f t="shared" si="10"/>
        <v>-398.5808202326516</v>
      </c>
      <c r="K45" s="89">
        <f t="shared" si="10"/>
        <v>-198.5808202326516</v>
      </c>
      <c r="L45" s="89">
        <f t="shared" si="10"/>
        <v>1.4191797673483961</v>
      </c>
      <c r="M45" s="89">
        <f t="shared" si="10"/>
        <v>201.4191797673484</v>
      </c>
      <c r="N45" s="90">
        <f>N$40-($B$40/$E45)</f>
        <v>401.4191797673484</v>
      </c>
      <c r="P45" s="162"/>
      <c r="Q45" s="74">
        <f>Q44+0.25</f>
        <v>4</v>
      </c>
      <c r="R45" s="75">
        <f t="shared" si="12"/>
        <v>627.7363239071688</v>
      </c>
      <c r="S45" s="75">
        <f t="shared" si="12"/>
        <v>827.7363239071688</v>
      </c>
      <c r="T45" s="75">
        <f t="shared" si="12"/>
        <v>1027.7363239071688</v>
      </c>
      <c r="U45" s="75">
        <f t="shared" si="12"/>
        <v>1227.7363239071688</v>
      </c>
      <c r="V45" s="75">
        <f t="shared" si="12"/>
        <v>1427.7363239071688</v>
      </c>
      <c r="W45" s="75">
        <f t="shared" si="12"/>
        <v>1627.7363239071688</v>
      </c>
      <c r="X45" s="75">
        <f t="shared" si="12"/>
        <v>1827.7363239071688</v>
      </c>
      <c r="Y45" s="75">
        <f t="shared" si="12"/>
        <v>2027.7363239071688</v>
      </c>
      <c r="Z45" s="75">
        <f t="shared" si="12"/>
        <v>2227.7363239071688</v>
      </c>
    </row>
    <row r="46" spans="1:3" ht="13.5" customHeight="1" thickBot="1">
      <c r="A46" s="91" t="s">
        <v>14</v>
      </c>
      <c r="B46" s="92">
        <f>B44-B45</f>
        <v>4761</v>
      </c>
      <c r="C46" s="111"/>
    </row>
    <row r="47" ht="13.5" customHeight="1"/>
    <row r="48" ht="13.5" customHeight="1"/>
    <row r="49" spans="1:2" ht="13.5" customHeight="1" thickBot="1">
      <c r="A49" s="50" t="s">
        <v>21</v>
      </c>
      <c r="B49" s="48"/>
    </row>
    <row r="50" spans="1:26" ht="19.5" customHeight="1" thickBot="1">
      <c r="A50" s="51" t="s">
        <v>81</v>
      </c>
      <c r="B50" s="52"/>
      <c r="C50" s="53"/>
      <c r="D50" s="163" t="s">
        <v>22</v>
      </c>
      <c r="E50" s="164"/>
      <c r="F50" s="164"/>
      <c r="G50" s="164"/>
      <c r="H50" s="164"/>
      <c r="I50" s="164"/>
      <c r="J50" s="164"/>
      <c r="K50" s="164"/>
      <c r="L50" s="164"/>
      <c r="M50" s="164"/>
      <c r="N50" s="165"/>
      <c r="P50" s="163" t="s">
        <v>23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5"/>
    </row>
    <row r="51" spans="1:26" ht="13.5" customHeight="1" thickBot="1">
      <c r="A51" s="54" t="s">
        <v>4</v>
      </c>
      <c r="B51" s="145">
        <f>INDEX('Bes- Sorghum'!Z9:AB14,MATCH('Pryse + Sensatiwiteitsanalise'!$B$55,Sorgopbrengspeil,0),2)</f>
        <v>12697.375186408726</v>
      </c>
      <c r="C51" s="106"/>
      <c r="D51" s="56"/>
      <c r="E51" s="57"/>
      <c r="F51" s="58"/>
      <c r="G51" s="59"/>
      <c r="H51" s="58"/>
      <c r="I51" s="58"/>
      <c r="J51" s="58" t="s">
        <v>19</v>
      </c>
      <c r="K51" s="60"/>
      <c r="L51" s="58"/>
      <c r="M51" s="60"/>
      <c r="N51" s="58"/>
      <c r="P51" s="56"/>
      <c r="Q51" s="57"/>
      <c r="R51" s="58"/>
      <c r="S51" s="59"/>
      <c r="T51" s="58"/>
      <c r="U51" s="58"/>
      <c r="V51" s="58" t="s">
        <v>19</v>
      </c>
      <c r="W51" s="60"/>
      <c r="X51" s="58"/>
      <c r="Y51" s="60"/>
      <c r="Z51" s="58"/>
    </row>
    <row r="52" spans="1:26" ht="13.5" customHeight="1" thickBot="1">
      <c r="A52" s="61" t="s">
        <v>6</v>
      </c>
      <c r="B52" s="145">
        <f>INDEX('Bes- Sorghum'!Z9:AB14,MATCH('Pryse + Sensatiwiteitsanalise'!$B$55,Sorgopbrengspeil,0),3)</f>
        <v>7305.268576559281</v>
      </c>
      <c r="C52" s="106"/>
      <c r="D52" s="163" t="s">
        <v>7</v>
      </c>
      <c r="E52" s="165"/>
      <c r="F52" s="64">
        <f>G52-200</f>
        <v>1700</v>
      </c>
      <c r="G52" s="64">
        <f>H52-200</f>
        <v>1900</v>
      </c>
      <c r="H52" s="64">
        <f>I52-200</f>
        <v>2100</v>
      </c>
      <c r="I52" s="64">
        <f>J52-200</f>
        <v>2300</v>
      </c>
      <c r="J52" s="63">
        <f>B57</f>
        <v>2500</v>
      </c>
      <c r="K52" s="64">
        <f>J52+200</f>
        <v>2700</v>
      </c>
      <c r="L52" s="64">
        <f>K52+200</f>
        <v>2900</v>
      </c>
      <c r="M52" s="64">
        <f>L52+200</f>
        <v>3100</v>
      </c>
      <c r="N52" s="64">
        <f>M52+200</f>
        <v>3300</v>
      </c>
      <c r="P52" s="163" t="s">
        <v>7</v>
      </c>
      <c r="Q52" s="165"/>
      <c r="R52" s="64">
        <f>S52-200</f>
        <v>1700</v>
      </c>
      <c r="S52" s="64">
        <f>T52-200</f>
        <v>1900</v>
      </c>
      <c r="T52" s="64">
        <f>U52-200</f>
        <v>2100</v>
      </c>
      <c r="U52" s="64">
        <f>V52-200</f>
        <v>2300</v>
      </c>
      <c r="V52" s="65">
        <f>J52</f>
        <v>2500</v>
      </c>
      <c r="W52" s="64">
        <f>V52+200</f>
        <v>2700</v>
      </c>
      <c r="X52" s="64">
        <f>W52+200</f>
        <v>2900</v>
      </c>
      <c r="Y52" s="64">
        <f>X52+200</f>
        <v>3100</v>
      </c>
      <c r="Z52" s="64">
        <f>Y52+200</f>
        <v>3300</v>
      </c>
    </row>
    <row r="53" spans="1:26" ht="13.5" customHeight="1" thickBot="1">
      <c r="A53" s="66" t="s">
        <v>8</v>
      </c>
      <c r="B53" s="67">
        <f>B52+B51</f>
        <v>20002.643762968008</v>
      </c>
      <c r="C53" s="107"/>
      <c r="D53" s="166" t="s">
        <v>9</v>
      </c>
      <c r="E53" s="167"/>
      <c r="F53" s="108">
        <f aca="true" t="shared" si="13" ref="F53:N53">F52-$B$45</f>
        <v>1641</v>
      </c>
      <c r="G53" s="69">
        <f t="shared" si="13"/>
        <v>1841</v>
      </c>
      <c r="H53" s="69">
        <f t="shared" si="13"/>
        <v>2041</v>
      </c>
      <c r="I53" s="69">
        <f t="shared" si="13"/>
        <v>2241</v>
      </c>
      <c r="J53" s="71">
        <f t="shared" si="13"/>
        <v>2441</v>
      </c>
      <c r="K53" s="69">
        <f t="shared" si="13"/>
        <v>2641</v>
      </c>
      <c r="L53" s="69">
        <f t="shared" si="13"/>
        <v>2841</v>
      </c>
      <c r="M53" s="69">
        <f t="shared" si="13"/>
        <v>3041</v>
      </c>
      <c r="N53" s="69">
        <f t="shared" si="13"/>
        <v>3241</v>
      </c>
      <c r="P53" s="166" t="s">
        <v>9</v>
      </c>
      <c r="Q53" s="167"/>
      <c r="R53" s="69">
        <f aca="true" t="shared" si="14" ref="R53:Z53">R52-$B$45</f>
        <v>1641</v>
      </c>
      <c r="S53" s="69">
        <f t="shared" si="14"/>
        <v>1841</v>
      </c>
      <c r="T53" s="69">
        <f t="shared" si="14"/>
        <v>2041</v>
      </c>
      <c r="U53" s="69">
        <f t="shared" si="14"/>
        <v>2241</v>
      </c>
      <c r="V53" s="71">
        <f t="shared" si="14"/>
        <v>2441</v>
      </c>
      <c r="W53" s="69">
        <f t="shared" si="14"/>
        <v>2641</v>
      </c>
      <c r="X53" s="69">
        <f t="shared" si="14"/>
        <v>2841</v>
      </c>
      <c r="Y53" s="69">
        <f t="shared" si="14"/>
        <v>3041</v>
      </c>
      <c r="Z53" s="69">
        <f t="shared" si="14"/>
        <v>3241</v>
      </c>
    </row>
    <row r="54" spans="1:26" ht="13.5" customHeight="1" thickBot="1">
      <c r="A54" s="72"/>
      <c r="B54" s="73"/>
      <c r="C54" s="109"/>
      <c r="D54" s="160" t="s">
        <v>10</v>
      </c>
      <c r="E54" s="74">
        <f>E55-0.25</f>
        <v>6.5</v>
      </c>
      <c r="F54" s="75">
        <f>F$53-($B$53/$E54)</f>
        <v>-1436.329809687386</v>
      </c>
      <c r="G54" s="75">
        <f aca="true" t="shared" si="15" ref="G54:N54">G$53-($B$53/$E54)</f>
        <v>-1236.329809687386</v>
      </c>
      <c r="H54" s="75">
        <f t="shared" si="15"/>
        <v>-1036.329809687386</v>
      </c>
      <c r="I54" s="75">
        <f t="shared" si="15"/>
        <v>-836.3298096873859</v>
      </c>
      <c r="J54" s="75">
        <f t="shared" si="15"/>
        <v>-636.3298096873859</v>
      </c>
      <c r="K54" s="75">
        <f t="shared" si="15"/>
        <v>-436.32980968738593</v>
      </c>
      <c r="L54" s="75">
        <f t="shared" si="15"/>
        <v>-236.32980968738593</v>
      </c>
      <c r="M54" s="75">
        <f t="shared" si="15"/>
        <v>-36.32980968738593</v>
      </c>
      <c r="N54" s="75">
        <f t="shared" si="15"/>
        <v>163.67019031261407</v>
      </c>
      <c r="P54" s="160" t="s">
        <v>10</v>
      </c>
      <c r="Q54" s="74">
        <f>Q55-0.25</f>
        <v>6.5</v>
      </c>
      <c r="R54" s="75">
        <f aca="true" t="shared" si="16" ref="R54:Z58">R$53-($B$51/$E54)</f>
        <v>-312.44233637057323</v>
      </c>
      <c r="S54" s="75">
        <f t="shared" si="16"/>
        <v>-112.44233637057323</v>
      </c>
      <c r="T54" s="75">
        <f t="shared" si="16"/>
        <v>87.55766362942677</v>
      </c>
      <c r="U54" s="75">
        <f t="shared" si="16"/>
        <v>287.55766362942677</v>
      </c>
      <c r="V54" s="75">
        <f t="shared" si="16"/>
        <v>487.55766362942677</v>
      </c>
      <c r="W54" s="75">
        <f t="shared" si="16"/>
        <v>687.5576636294268</v>
      </c>
      <c r="X54" s="75">
        <f t="shared" si="16"/>
        <v>887.5576636294268</v>
      </c>
      <c r="Y54" s="75">
        <f t="shared" si="16"/>
        <v>1087.5576636294268</v>
      </c>
      <c r="Z54" s="75">
        <f t="shared" si="16"/>
        <v>1287.5576636294268</v>
      </c>
    </row>
    <row r="55" spans="1:26" ht="13.5" customHeight="1" thickBot="1">
      <c r="A55" s="79" t="s">
        <v>11</v>
      </c>
      <c r="B55" s="153">
        <v>7</v>
      </c>
      <c r="C55" s="110"/>
      <c r="D55" s="161"/>
      <c r="E55" s="74">
        <f>E56-0.25</f>
        <v>6.75</v>
      </c>
      <c r="F55" s="75">
        <f aca="true" t="shared" si="17" ref="F55:N58">F$53-($B$53/$E55)</f>
        <v>-1322.354631550816</v>
      </c>
      <c r="G55" s="75">
        <f t="shared" si="17"/>
        <v>-1122.354631550816</v>
      </c>
      <c r="H55" s="75">
        <f t="shared" si="17"/>
        <v>-922.3546315508161</v>
      </c>
      <c r="I55" s="75">
        <f t="shared" si="17"/>
        <v>-722.3546315508161</v>
      </c>
      <c r="J55" s="75">
        <f t="shared" si="17"/>
        <v>-522.3546315508161</v>
      </c>
      <c r="K55" s="75">
        <f t="shared" si="17"/>
        <v>-322.35463155081607</v>
      </c>
      <c r="L55" s="75">
        <f t="shared" si="17"/>
        <v>-122.35463155081607</v>
      </c>
      <c r="M55" s="75">
        <f t="shared" si="17"/>
        <v>77.64536844918393</v>
      </c>
      <c r="N55" s="75">
        <f t="shared" si="17"/>
        <v>277.64536844918393</v>
      </c>
      <c r="P55" s="161"/>
      <c r="Q55" s="74">
        <f>Q56-0.25</f>
        <v>6.75</v>
      </c>
      <c r="R55" s="75">
        <f t="shared" si="16"/>
        <v>-240.09262020870028</v>
      </c>
      <c r="S55" s="75">
        <f t="shared" si="16"/>
        <v>-40.09262020870028</v>
      </c>
      <c r="T55" s="75">
        <f t="shared" si="16"/>
        <v>159.90737979129972</v>
      </c>
      <c r="U55" s="75">
        <f t="shared" si="16"/>
        <v>359.9073797912997</v>
      </c>
      <c r="V55" s="75">
        <f t="shared" si="16"/>
        <v>559.9073797912997</v>
      </c>
      <c r="W55" s="75">
        <f t="shared" si="16"/>
        <v>759.9073797912997</v>
      </c>
      <c r="X55" s="75">
        <f t="shared" si="16"/>
        <v>959.9073797912997</v>
      </c>
      <c r="Y55" s="75">
        <f t="shared" si="16"/>
        <v>1159.9073797912997</v>
      </c>
      <c r="Z55" s="75">
        <f t="shared" si="16"/>
        <v>1359.9073797912997</v>
      </c>
    </row>
    <row r="56" spans="1:26" ht="13.5" customHeight="1" thickBot="1">
      <c r="A56" s="72"/>
      <c r="B56" s="73"/>
      <c r="C56" s="109"/>
      <c r="D56" s="161"/>
      <c r="E56" s="84">
        <f>B55</f>
        <v>7</v>
      </c>
      <c r="F56" s="75">
        <f t="shared" si="17"/>
        <v>-1216.5205375668584</v>
      </c>
      <c r="G56" s="75">
        <f t="shared" si="17"/>
        <v>-1016.5205375668584</v>
      </c>
      <c r="H56" s="75">
        <f t="shared" si="17"/>
        <v>-816.5205375668584</v>
      </c>
      <c r="I56" s="75">
        <f t="shared" si="17"/>
        <v>-616.5205375668584</v>
      </c>
      <c r="J56" s="75">
        <f t="shared" si="17"/>
        <v>-416.52053756685837</v>
      </c>
      <c r="K56" s="75">
        <f t="shared" si="17"/>
        <v>-216.52053756685837</v>
      </c>
      <c r="L56" s="75">
        <f t="shared" si="17"/>
        <v>-16.520537566858366</v>
      </c>
      <c r="M56" s="75">
        <f t="shared" si="17"/>
        <v>183.47946243314163</v>
      </c>
      <c r="N56" s="75">
        <f t="shared" si="17"/>
        <v>383.47946243314163</v>
      </c>
      <c r="P56" s="161"/>
      <c r="Q56" s="84">
        <f>E56</f>
        <v>7</v>
      </c>
      <c r="R56" s="75">
        <f t="shared" si="16"/>
        <v>-172.91074091553241</v>
      </c>
      <c r="S56" s="75">
        <f t="shared" si="16"/>
        <v>27.089259084467585</v>
      </c>
      <c r="T56" s="75">
        <f t="shared" si="16"/>
        <v>227.08925908446759</v>
      </c>
      <c r="U56" s="75">
        <f t="shared" si="16"/>
        <v>427.0892590844676</v>
      </c>
      <c r="V56" s="75">
        <f t="shared" si="16"/>
        <v>627.0892590844676</v>
      </c>
      <c r="W56" s="75">
        <f t="shared" si="16"/>
        <v>827.0892590844676</v>
      </c>
      <c r="X56" s="75">
        <f t="shared" si="16"/>
        <v>1027.0892590844676</v>
      </c>
      <c r="Y56" s="75">
        <f t="shared" si="16"/>
        <v>1227.0892590844676</v>
      </c>
      <c r="Z56" s="75">
        <f t="shared" si="16"/>
        <v>1427.0892590844676</v>
      </c>
    </row>
    <row r="57" spans="1:26" ht="13.5" customHeight="1" thickBot="1">
      <c r="A57" s="85" t="s">
        <v>20</v>
      </c>
      <c r="B57" s="154">
        <f>B7</f>
        <v>2500</v>
      </c>
      <c r="C57" s="109"/>
      <c r="D57" s="161"/>
      <c r="E57" s="74">
        <f>E56+0.25</f>
        <v>7.25</v>
      </c>
      <c r="F57" s="75">
        <f t="shared" si="17"/>
        <v>-1117.9853466162767</v>
      </c>
      <c r="G57" s="75">
        <f t="shared" si="17"/>
        <v>-917.9853466162767</v>
      </c>
      <c r="H57" s="75">
        <f t="shared" si="17"/>
        <v>-717.9853466162767</v>
      </c>
      <c r="I57" s="75">
        <f t="shared" si="17"/>
        <v>-517.9853466162767</v>
      </c>
      <c r="J57" s="75">
        <f t="shared" si="17"/>
        <v>-317.98534661627673</v>
      </c>
      <c r="K57" s="75">
        <f t="shared" si="17"/>
        <v>-117.98534661627673</v>
      </c>
      <c r="L57" s="75">
        <f t="shared" si="17"/>
        <v>82.01465338372327</v>
      </c>
      <c r="M57" s="75">
        <f t="shared" si="17"/>
        <v>282.01465338372327</v>
      </c>
      <c r="N57" s="75">
        <f t="shared" si="17"/>
        <v>482.01465338372327</v>
      </c>
      <c r="P57" s="161"/>
      <c r="Q57" s="74">
        <f>Q56+0.25</f>
        <v>7.25</v>
      </c>
      <c r="R57" s="75">
        <f t="shared" si="16"/>
        <v>-110.36209467706567</v>
      </c>
      <c r="S57" s="75">
        <f t="shared" si="16"/>
        <v>89.63790532293433</v>
      </c>
      <c r="T57" s="75">
        <f t="shared" si="16"/>
        <v>289.63790532293433</v>
      </c>
      <c r="U57" s="75">
        <f t="shared" si="16"/>
        <v>489.63790532293433</v>
      </c>
      <c r="V57" s="75">
        <f t="shared" si="16"/>
        <v>689.6379053229343</v>
      </c>
      <c r="W57" s="75">
        <f t="shared" si="16"/>
        <v>889.6379053229343</v>
      </c>
      <c r="X57" s="75">
        <f t="shared" si="16"/>
        <v>1089.6379053229343</v>
      </c>
      <c r="Y57" s="75">
        <f t="shared" si="16"/>
        <v>1289.6379053229343</v>
      </c>
      <c r="Z57" s="75">
        <f t="shared" si="16"/>
        <v>1489.6379053229343</v>
      </c>
    </row>
    <row r="58" spans="1:26" ht="13.5" customHeight="1" thickBot="1">
      <c r="A58" s="86" t="s">
        <v>13</v>
      </c>
      <c r="B58" s="155">
        <f>D7</f>
        <v>63</v>
      </c>
      <c r="C58" s="111"/>
      <c r="D58" s="162"/>
      <c r="E58" s="74">
        <f>E57+0.25</f>
        <v>7.5</v>
      </c>
      <c r="F58" s="75">
        <f t="shared" si="17"/>
        <v>-1026.0191683957341</v>
      </c>
      <c r="G58" s="75">
        <f t="shared" si="17"/>
        <v>-826.0191683957341</v>
      </c>
      <c r="H58" s="75">
        <f t="shared" si="17"/>
        <v>-626.0191683957341</v>
      </c>
      <c r="I58" s="75">
        <f t="shared" si="17"/>
        <v>-426.01916839573414</v>
      </c>
      <c r="J58" s="75">
        <f t="shared" si="17"/>
        <v>-226.01916839573414</v>
      </c>
      <c r="K58" s="75">
        <f t="shared" si="17"/>
        <v>-26.01916839573414</v>
      </c>
      <c r="L58" s="75">
        <f t="shared" si="17"/>
        <v>173.98083160426586</v>
      </c>
      <c r="M58" s="75">
        <f t="shared" si="17"/>
        <v>373.98083160426586</v>
      </c>
      <c r="N58" s="75">
        <f>N$53-($B$53/$E58)</f>
        <v>573.9808316042659</v>
      </c>
      <c r="P58" s="162"/>
      <c r="Q58" s="74">
        <f>Q57+0.25</f>
        <v>7.5</v>
      </c>
      <c r="R58" s="75">
        <f>R$53-($B$51/$E58)</f>
        <v>-51.98335818783016</v>
      </c>
      <c r="S58" s="75">
        <f t="shared" si="16"/>
        <v>148.01664181216984</v>
      </c>
      <c r="T58" s="75">
        <f t="shared" si="16"/>
        <v>348.01664181216984</v>
      </c>
      <c r="U58" s="75">
        <f t="shared" si="16"/>
        <v>548.0166418121698</v>
      </c>
      <c r="V58" s="75">
        <f t="shared" si="16"/>
        <v>748.0166418121698</v>
      </c>
      <c r="W58" s="75">
        <f t="shared" si="16"/>
        <v>948.0166418121698</v>
      </c>
      <c r="X58" s="75">
        <f t="shared" si="16"/>
        <v>1148.0166418121698</v>
      </c>
      <c r="Y58" s="75">
        <f t="shared" si="16"/>
        <v>1348.0166418121698</v>
      </c>
      <c r="Z58" s="75">
        <f t="shared" si="16"/>
        <v>1548.0166418121698</v>
      </c>
    </row>
    <row r="59" spans="1:3" ht="13.5" customHeight="1" thickBot="1">
      <c r="A59" s="91" t="s">
        <v>14</v>
      </c>
      <c r="B59" s="92">
        <f>B57-B58</f>
        <v>2437</v>
      </c>
      <c r="C59" s="111"/>
    </row>
  </sheetData>
  <sheetProtection selectLockedCells="1"/>
  <mergeCells count="35">
    <mergeCell ref="D11:N11"/>
    <mergeCell ref="P11:Z11"/>
    <mergeCell ref="D13:E13"/>
    <mergeCell ref="P13:Q13"/>
    <mergeCell ref="D14:E14"/>
    <mergeCell ref="P14:Q14"/>
    <mergeCell ref="D15:D19"/>
    <mergeCell ref="P15:P19"/>
    <mergeCell ref="D24:N24"/>
    <mergeCell ref="P24:Z24"/>
    <mergeCell ref="D26:E26"/>
    <mergeCell ref="P26:Q26"/>
    <mergeCell ref="D27:E27"/>
    <mergeCell ref="P27:Q27"/>
    <mergeCell ref="D28:D32"/>
    <mergeCell ref="P28:P32"/>
    <mergeCell ref="D37:N37"/>
    <mergeCell ref="P37:Z37"/>
    <mergeCell ref="P53:Q53"/>
    <mergeCell ref="D39:E39"/>
    <mergeCell ref="P39:Q39"/>
    <mergeCell ref="D40:E40"/>
    <mergeCell ref="P40:Q40"/>
    <mergeCell ref="D41:D45"/>
    <mergeCell ref="P41:P45"/>
    <mergeCell ref="A10:B10"/>
    <mergeCell ref="A23:B23"/>
    <mergeCell ref="A36:B36"/>
    <mergeCell ref="D54:D58"/>
    <mergeCell ref="P54:P58"/>
    <mergeCell ref="D50:N50"/>
    <mergeCell ref="P50:Z50"/>
    <mergeCell ref="D52:E52"/>
    <mergeCell ref="P52:Q52"/>
    <mergeCell ref="D53:E53"/>
  </mergeCells>
  <conditionalFormatting sqref="F15:N19">
    <cfRule type="cellIs" priority="29" dxfId="0" operator="lessThan" stopIfTrue="1">
      <formula>1</formula>
    </cfRule>
    <cfRule type="cellIs" priority="30" dxfId="1" operator="greaterThan" stopIfTrue="1">
      <formula>1</formula>
    </cfRule>
    <cfRule type="cellIs" priority="31" dxfId="0" operator="lessThan" stopIfTrue="1">
      <formula>1</formula>
    </cfRule>
    <cfRule type="cellIs" priority="32" dxfId="1" operator="greaterThan" stopIfTrue="1">
      <formula>1</formula>
    </cfRule>
  </conditionalFormatting>
  <conditionalFormatting sqref="F41:N45">
    <cfRule type="cellIs" priority="25" dxfId="0" operator="lessThan" stopIfTrue="1">
      <formula>1</formula>
    </cfRule>
    <cfRule type="cellIs" priority="26" dxfId="1" operator="greaterThan" stopIfTrue="1">
      <formula>1</formula>
    </cfRule>
    <cfRule type="cellIs" priority="27" dxfId="0" operator="lessThan" stopIfTrue="1">
      <formula>1</formula>
    </cfRule>
    <cfRule type="cellIs" priority="28" dxfId="1" operator="greaterThan" stopIfTrue="1">
      <formula>1</formula>
    </cfRule>
  </conditionalFormatting>
  <conditionalFormatting sqref="R15:Z19">
    <cfRule type="cellIs" priority="21" dxfId="0" operator="lessThan" stopIfTrue="1">
      <formula>1</formula>
    </cfRule>
    <cfRule type="cellIs" priority="22" dxfId="1" operator="greaterThan" stopIfTrue="1">
      <formula>1</formula>
    </cfRule>
    <cfRule type="cellIs" priority="23" dxfId="0" operator="lessThan" stopIfTrue="1">
      <formula>1</formula>
    </cfRule>
    <cfRule type="cellIs" priority="24" dxfId="1" operator="greaterThan" stopIfTrue="1">
      <formula>1</formula>
    </cfRule>
  </conditionalFormatting>
  <conditionalFormatting sqref="R41:Z45">
    <cfRule type="cellIs" priority="17" dxfId="0" operator="lessThan" stopIfTrue="1">
      <formula>1</formula>
    </cfRule>
    <cfRule type="cellIs" priority="18" dxfId="1" operator="greaterThan" stopIfTrue="1">
      <formula>1</formula>
    </cfRule>
    <cfRule type="cellIs" priority="19" dxfId="0" operator="lessThan" stopIfTrue="1">
      <formula>1</formula>
    </cfRule>
    <cfRule type="cellIs" priority="20" dxfId="1" operator="greaterThan" stopIfTrue="1">
      <formula>1</formula>
    </cfRule>
  </conditionalFormatting>
  <conditionalFormatting sqref="F28:N32">
    <cfRule type="cellIs" priority="13" dxfId="0" operator="lessThan" stopIfTrue="1">
      <formula>1</formula>
    </cfRule>
    <cfRule type="cellIs" priority="14" dxfId="1" operator="greaterThan" stopIfTrue="1">
      <formula>1</formula>
    </cfRule>
    <cfRule type="cellIs" priority="15" dxfId="0" operator="lessThan" stopIfTrue="1">
      <formula>1</formula>
    </cfRule>
    <cfRule type="cellIs" priority="16" dxfId="1" operator="greaterThan" stopIfTrue="1">
      <formula>1</formula>
    </cfRule>
  </conditionalFormatting>
  <conditionalFormatting sqref="R28:Z32">
    <cfRule type="cellIs" priority="9" dxfId="0" operator="lessThan" stopIfTrue="1">
      <formula>1</formula>
    </cfRule>
    <cfRule type="cellIs" priority="10" dxfId="1" operator="greaterThan" stopIfTrue="1">
      <formula>1</formula>
    </cfRule>
    <cfRule type="cellIs" priority="11" dxfId="0" operator="lessThan" stopIfTrue="1">
      <formula>1</formula>
    </cfRule>
    <cfRule type="cellIs" priority="12" dxfId="1" operator="greaterThan" stopIfTrue="1">
      <formula>1</formula>
    </cfRule>
  </conditionalFormatting>
  <conditionalFormatting sqref="F54:N58">
    <cfRule type="cellIs" priority="5" dxfId="0" operator="lessThan" stopIfTrue="1">
      <formula>1</formula>
    </cfRule>
    <cfRule type="cellIs" priority="6" dxfId="1" operator="greaterThan" stopIfTrue="1">
      <formula>1</formula>
    </cfRule>
    <cfRule type="cellIs" priority="7" dxfId="0" operator="lessThan" stopIfTrue="1">
      <formula>1</formula>
    </cfRule>
    <cfRule type="cellIs" priority="8" dxfId="1" operator="greaterThan" stopIfTrue="1">
      <formula>1</formula>
    </cfRule>
  </conditionalFormatting>
  <conditionalFormatting sqref="R54:Z58">
    <cfRule type="cellIs" priority="1" dxfId="0" operator="lessThan" stopIfTrue="1">
      <formula>1</formula>
    </cfRule>
    <cfRule type="cellIs" priority="2" dxfId="1" operator="greaterThan" stopIfTrue="1">
      <formula>1</formula>
    </cfRule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dataValidations count="4">
    <dataValidation type="list" allowBlank="1" showInputMessage="1" showErrorMessage="1" sqref="B16">
      <formula1>Opbrengspeil</formula1>
    </dataValidation>
    <dataValidation type="list" allowBlank="1" showInputMessage="1" showErrorMessage="1" sqref="B29">
      <formula1>Sonopbrengspeil</formula1>
    </dataValidation>
    <dataValidation type="list" allowBlank="1" showInputMessage="1" showErrorMessage="1" sqref="B42">
      <formula1>Sojaopbrengspeil</formula1>
    </dataValidation>
    <dataValidation type="list" allowBlank="1" showInputMessage="1" showErrorMessage="1" sqref="B55">
      <formula1>Sorgopbrengspeil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85" zoomScaleNormal="85" zoomScaleSheetLayoutView="90" zoomScalePageLayoutView="0" workbookViewId="0" topLeftCell="B16">
      <selection activeCell="F28" sqref="F28"/>
    </sheetView>
  </sheetViews>
  <sheetFormatPr defaultColWidth="9.140625" defaultRowHeight="12.75"/>
  <cols>
    <col min="1" max="1" width="43.7109375" style="1" customWidth="1"/>
    <col min="2" max="2" width="16.421875" style="1" customWidth="1"/>
    <col min="3" max="3" width="15.28125" style="1" customWidth="1"/>
    <col min="4" max="4" width="15.57421875" style="1" customWidth="1"/>
    <col min="5" max="9" width="14.28125" style="1" customWidth="1"/>
    <col min="10" max="10" width="14.421875" style="1" customWidth="1"/>
    <col min="11" max="26" width="12.7109375" style="1" hidden="1" customWidth="1"/>
    <col min="27" max="27" width="12.57421875" style="1" hidden="1" customWidth="1"/>
    <col min="28" max="29" width="0" style="1" hidden="1" customWidth="1"/>
    <col min="30" max="16384" width="9.140625" style="1" customWidth="1"/>
  </cols>
  <sheetData>
    <row r="1" spans="1:11" ht="33" customHeight="1" thickBot="1">
      <c r="A1" s="186" t="s">
        <v>24</v>
      </c>
      <c r="B1" s="187"/>
      <c r="C1" s="187"/>
      <c r="D1" s="187"/>
      <c r="E1" s="188" t="s">
        <v>82</v>
      </c>
      <c r="F1" s="189"/>
      <c r="G1" s="189"/>
      <c r="H1" s="2"/>
      <c r="I1" s="15"/>
      <c r="J1" s="14"/>
      <c r="K1" s="14"/>
    </row>
    <row r="2" spans="1:11" ht="15.75" thickBot="1">
      <c r="A2" s="16"/>
      <c r="B2" s="17"/>
      <c r="C2" s="18"/>
      <c r="D2" s="18"/>
      <c r="E2" s="11"/>
      <c r="F2" s="11"/>
      <c r="G2" s="11"/>
      <c r="H2" s="11"/>
      <c r="I2" s="4"/>
      <c r="J2" s="3"/>
      <c r="K2" s="14"/>
    </row>
    <row r="3" spans="1:11" ht="27" customHeight="1" thickBot="1">
      <c r="A3" s="190" t="s">
        <v>25</v>
      </c>
      <c r="B3" s="191"/>
      <c r="C3" s="191"/>
      <c r="D3" s="5"/>
      <c r="E3" s="34">
        <f>'Pryse + Sensatiwiteitsanalise'!B20</f>
        <v>1810</v>
      </c>
      <c r="F3" s="5" t="s">
        <v>0</v>
      </c>
      <c r="G3" s="5"/>
      <c r="H3" s="20"/>
      <c r="I3" s="6"/>
      <c r="K3" s="14"/>
    </row>
    <row r="4" spans="1:11" ht="13.5" thickBot="1">
      <c r="A4" s="113"/>
      <c r="B4" s="8"/>
      <c r="C4" s="8"/>
      <c r="D4" s="7"/>
      <c r="E4" s="10"/>
      <c r="F4" s="21"/>
      <c r="G4" s="8"/>
      <c r="H4" s="22"/>
      <c r="I4" s="22"/>
      <c r="J4" s="3"/>
      <c r="K4" s="14"/>
    </row>
    <row r="5" spans="1:11" ht="13.5" thickBot="1">
      <c r="A5" s="121" t="s">
        <v>26</v>
      </c>
      <c r="B5" s="8"/>
      <c r="C5" s="8"/>
      <c r="D5" s="35">
        <v>9</v>
      </c>
      <c r="E5" s="35">
        <v>10</v>
      </c>
      <c r="F5" s="35">
        <v>12</v>
      </c>
      <c r="G5" s="35">
        <v>14</v>
      </c>
      <c r="H5" s="35">
        <v>15</v>
      </c>
      <c r="I5" s="35">
        <v>16</v>
      </c>
      <c r="J5" s="3"/>
      <c r="K5" s="14"/>
    </row>
    <row r="6" spans="1:11" ht="13.5" thickBot="1">
      <c r="A6" s="122" t="s">
        <v>27</v>
      </c>
      <c r="B6" s="119"/>
      <c r="C6" s="120"/>
      <c r="D6" s="9">
        <f aca="true" t="shared" si="0" ref="D6:I6">$E$3*D5</f>
        <v>16290</v>
      </c>
      <c r="E6" s="9">
        <f t="shared" si="0"/>
        <v>18100</v>
      </c>
      <c r="F6" s="9">
        <f t="shared" si="0"/>
        <v>21720</v>
      </c>
      <c r="G6" s="9">
        <f t="shared" si="0"/>
        <v>25340</v>
      </c>
      <c r="H6" s="9">
        <f t="shared" si="0"/>
        <v>27150</v>
      </c>
      <c r="I6" s="9">
        <f t="shared" si="0"/>
        <v>28960</v>
      </c>
      <c r="J6" s="3"/>
      <c r="K6" s="14"/>
    </row>
    <row r="7" spans="1:28" ht="15" thickBot="1">
      <c r="A7" s="115"/>
      <c r="B7" s="116"/>
      <c r="C7" s="116"/>
      <c r="D7" s="25"/>
      <c r="E7" s="25"/>
      <c r="F7" s="25"/>
      <c r="G7" s="25"/>
      <c r="H7" s="25"/>
      <c r="I7" s="25"/>
      <c r="J7" s="3"/>
      <c r="K7" s="14"/>
      <c r="Z7" s="176" t="s">
        <v>71</v>
      </c>
      <c r="AA7" s="176"/>
      <c r="AB7" s="176"/>
    </row>
    <row r="8" spans="1:28" ht="15" thickBot="1">
      <c r="A8" s="193" t="s">
        <v>28</v>
      </c>
      <c r="B8" s="194"/>
      <c r="C8" s="195"/>
      <c r="D8" s="26"/>
      <c r="E8" s="26"/>
      <c r="F8" s="26"/>
      <c r="G8" s="26"/>
      <c r="H8" s="26"/>
      <c r="I8" s="26"/>
      <c r="J8" s="3"/>
      <c r="K8" s="14"/>
      <c r="Z8" s="141" t="s">
        <v>68</v>
      </c>
      <c r="AA8" s="141" t="s">
        <v>69</v>
      </c>
      <c r="AB8" s="141" t="s">
        <v>70</v>
      </c>
    </row>
    <row r="9" spans="1:28" ht="14.25">
      <c r="A9" s="126" t="s">
        <v>29</v>
      </c>
      <c r="B9" s="127"/>
      <c r="C9" s="127"/>
      <c r="D9" s="28">
        <v>3560.3312499999997</v>
      </c>
      <c r="E9" s="28">
        <v>3560.3312499999997</v>
      </c>
      <c r="F9" s="28">
        <v>3560.3312499999997</v>
      </c>
      <c r="G9" s="28">
        <v>3560.3312499999997</v>
      </c>
      <c r="H9" s="28">
        <v>3560.3312499999997</v>
      </c>
      <c r="I9" s="28">
        <v>3560.3312499999997</v>
      </c>
      <c r="J9" s="3"/>
      <c r="K9" s="14"/>
      <c r="Z9" s="142">
        <v>9</v>
      </c>
      <c r="AA9" s="142">
        <f>D26</f>
        <v>18878.870039735993</v>
      </c>
      <c r="AB9" s="142">
        <f>D28</f>
        <v>7305.268576559281</v>
      </c>
    </row>
    <row r="10" spans="1:28" ht="14.25">
      <c r="A10" s="123" t="s">
        <v>30</v>
      </c>
      <c r="B10" s="128"/>
      <c r="C10" s="128"/>
      <c r="D10" s="29">
        <v>5173.349999999999</v>
      </c>
      <c r="E10" s="29">
        <v>5681.5</v>
      </c>
      <c r="F10" s="29">
        <v>6697.8</v>
      </c>
      <c r="G10" s="29">
        <v>7114.099999999999</v>
      </c>
      <c r="H10" s="29">
        <v>7622.25</v>
      </c>
      <c r="I10" s="29">
        <v>8130.4</v>
      </c>
      <c r="J10" s="3"/>
      <c r="K10" s="14"/>
      <c r="Z10" s="142">
        <v>10</v>
      </c>
      <c r="AA10" s="142">
        <f>E26</f>
        <v>20379.70599022572</v>
      </c>
      <c r="AB10" s="142">
        <f>E28</f>
        <v>7305.268576559281</v>
      </c>
    </row>
    <row r="11" spans="1:28" ht="14.25">
      <c r="A11" s="123" t="s">
        <v>31</v>
      </c>
      <c r="B11" s="128"/>
      <c r="C11" s="128"/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"/>
      <c r="K11" s="14"/>
      <c r="Z11" s="142">
        <v>12</v>
      </c>
      <c r="AA11" s="142">
        <f>F26</f>
        <v>23374.711221921614</v>
      </c>
      <c r="AB11" s="142">
        <f>F28</f>
        <v>7305.268576559281</v>
      </c>
    </row>
    <row r="12" spans="1:28" ht="14.25">
      <c r="A12" s="123" t="s">
        <v>32</v>
      </c>
      <c r="B12" s="128"/>
      <c r="C12" s="128"/>
      <c r="D12" s="29">
        <v>967.541776450527</v>
      </c>
      <c r="E12" s="29">
        <v>992.0684008269201</v>
      </c>
      <c r="F12" s="29">
        <v>1035.4177834456614</v>
      </c>
      <c r="G12" s="29">
        <v>1078.7671660644025</v>
      </c>
      <c r="H12" s="29">
        <v>1103.2937904407956</v>
      </c>
      <c r="I12" s="29">
        <v>1127.8204148171887</v>
      </c>
      <c r="J12" s="3"/>
      <c r="K12" s="14"/>
      <c r="Z12" s="142">
        <v>14</v>
      </c>
      <c r="AA12" s="142">
        <f>G26</f>
        <v>25668.437448092653</v>
      </c>
      <c r="AB12" s="142">
        <f>G28</f>
        <v>7305.268576559281</v>
      </c>
    </row>
    <row r="13" spans="1:28" ht="14.25">
      <c r="A13" s="123" t="s">
        <v>33</v>
      </c>
      <c r="B13" s="128"/>
      <c r="C13" s="128"/>
      <c r="D13" s="29">
        <v>670.1700000000001</v>
      </c>
      <c r="E13" s="29">
        <v>676.3</v>
      </c>
      <c r="F13" s="29">
        <v>688.56</v>
      </c>
      <c r="G13" s="29">
        <v>700.8199999999999</v>
      </c>
      <c r="H13" s="29">
        <v>706.95</v>
      </c>
      <c r="I13" s="29">
        <v>713.0799999999999</v>
      </c>
      <c r="J13" s="3"/>
      <c r="K13" s="14"/>
      <c r="Z13" s="142">
        <v>15</v>
      </c>
      <c r="AA13" s="142">
        <f>H26</f>
        <v>27169.273398582376</v>
      </c>
      <c r="AB13" s="142">
        <f>H28</f>
        <v>7305.268576559281</v>
      </c>
    </row>
    <row r="14" spans="1:28" ht="14.25">
      <c r="A14" s="123" t="s">
        <v>34</v>
      </c>
      <c r="B14" s="128"/>
      <c r="C14" s="128"/>
      <c r="D14" s="29">
        <v>353.18984800000004</v>
      </c>
      <c r="E14" s="29">
        <v>353.18984800000004</v>
      </c>
      <c r="F14" s="29">
        <v>353.18984800000004</v>
      </c>
      <c r="G14" s="29">
        <v>353.18984800000004</v>
      </c>
      <c r="H14" s="29">
        <v>353.18984800000004</v>
      </c>
      <c r="I14" s="29">
        <v>353.18984800000004</v>
      </c>
      <c r="J14" s="3"/>
      <c r="K14" s="14"/>
      <c r="Z14" s="142">
        <v>16</v>
      </c>
      <c r="AA14" s="142">
        <f>I26</f>
        <v>28670.109349072103</v>
      </c>
      <c r="AB14" s="142">
        <f>I28</f>
        <v>7305.268576559281</v>
      </c>
    </row>
    <row r="15" spans="1:28" ht="14.25">
      <c r="A15" s="123" t="s">
        <v>35</v>
      </c>
      <c r="B15" s="128"/>
      <c r="C15" s="128"/>
      <c r="D15" s="29">
        <v>77.924</v>
      </c>
      <c r="E15" s="29">
        <v>77.924</v>
      </c>
      <c r="F15" s="29">
        <v>77.924</v>
      </c>
      <c r="G15" s="29">
        <v>77.924</v>
      </c>
      <c r="H15" s="29">
        <v>77.924</v>
      </c>
      <c r="I15" s="29">
        <v>77.924</v>
      </c>
      <c r="J15" s="3"/>
      <c r="K15" s="14"/>
      <c r="AB15" s="142"/>
    </row>
    <row r="16" spans="1:11" ht="12.75">
      <c r="A16" s="123" t="s">
        <v>36</v>
      </c>
      <c r="B16" s="128"/>
      <c r="C16" s="128"/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"/>
      <c r="K16" s="14"/>
    </row>
    <row r="17" spans="1:11" ht="12.75">
      <c r="A17" s="114" t="s">
        <v>37</v>
      </c>
      <c r="B17" s="117"/>
      <c r="C17" s="117"/>
      <c r="D17" s="29">
        <v>4689.082155520001</v>
      </c>
      <c r="E17" s="29">
        <v>5360.939379712001</v>
      </c>
      <c r="F17" s="29">
        <v>6704.653828096001</v>
      </c>
      <c r="G17" s="29">
        <v>8048.368276480001</v>
      </c>
      <c r="H17" s="29">
        <v>8720.225500672002</v>
      </c>
      <c r="I17" s="29">
        <v>9392.082724864002</v>
      </c>
      <c r="J17" s="3"/>
      <c r="K17" s="14"/>
    </row>
    <row r="18" spans="1:11" ht="12.75">
      <c r="A18" s="123" t="s">
        <v>38</v>
      </c>
      <c r="B18" s="128"/>
      <c r="C18" s="128"/>
      <c r="D18" s="29">
        <v>1784.7929038641469</v>
      </c>
      <c r="E18" s="29">
        <v>1926.6807048109304</v>
      </c>
      <c r="F18" s="29">
        <v>2209.8260452532218</v>
      </c>
      <c r="G18" s="29">
        <v>2426.6730431540777</v>
      </c>
      <c r="H18" s="29">
        <v>2568.5608441008617</v>
      </c>
      <c r="I18" s="29">
        <v>2710.448645047645</v>
      </c>
      <c r="J18" s="3"/>
      <c r="K18" s="14"/>
    </row>
    <row r="19" spans="1:11" ht="12.75">
      <c r="A19" s="123" t="s">
        <v>39</v>
      </c>
      <c r="B19" s="128"/>
      <c r="C19" s="128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"/>
      <c r="K19" s="14"/>
    </row>
    <row r="20" spans="1:11" ht="12.75">
      <c r="A20" s="123" t="s">
        <v>40</v>
      </c>
      <c r="B20" s="128"/>
      <c r="C20" s="128"/>
      <c r="D20" s="29">
        <v>660.78675</v>
      </c>
      <c r="E20" s="29">
        <v>734.2075</v>
      </c>
      <c r="F20" s="29">
        <v>881.0490000000001</v>
      </c>
      <c r="G20" s="29">
        <v>1027.8905</v>
      </c>
      <c r="H20" s="29">
        <v>1101.31125</v>
      </c>
      <c r="I20" s="29">
        <v>1174.732</v>
      </c>
      <c r="J20" s="3"/>
      <c r="K20" s="14"/>
    </row>
    <row r="21" spans="1:11" ht="12.75">
      <c r="A21" s="123" t="s">
        <v>41</v>
      </c>
      <c r="B21" s="128"/>
      <c r="C21" s="128"/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"/>
      <c r="K21" s="14"/>
    </row>
    <row r="22" spans="1:11" s="13" customFormat="1" ht="12.75">
      <c r="A22" s="123" t="s">
        <v>42</v>
      </c>
      <c r="B22" s="128"/>
      <c r="C22" s="128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"/>
      <c r="K22" s="12"/>
    </row>
    <row r="23" spans="1:11" s="13" customFormat="1" ht="12.75">
      <c r="A23" s="123" t="s">
        <v>43</v>
      </c>
      <c r="B23" s="128"/>
      <c r="C23" s="128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"/>
      <c r="K23" s="12"/>
    </row>
    <row r="24" spans="1:11" s="13" customFormat="1" ht="12.75">
      <c r="A24" s="123" t="s">
        <v>44</v>
      </c>
      <c r="B24" s="128"/>
      <c r="C24" s="128"/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3"/>
      <c r="K24" s="12"/>
    </row>
    <row r="25" spans="1:11" s="13" customFormat="1" ht="13.5" thickBot="1">
      <c r="A25" s="123" t="s">
        <v>45</v>
      </c>
      <c r="B25" s="128"/>
      <c r="C25" s="128"/>
      <c r="D25" s="29">
        <v>941.7013559013204</v>
      </c>
      <c r="E25" s="29">
        <v>1016.564906875867</v>
      </c>
      <c r="F25" s="29">
        <v>1165.9594671267314</v>
      </c>
      <c r="G25" s="29">
        <v>1280.3733643941703</v>
      </c>
      <c r="H25" s="29">
        <v>1355.2369153687173</v>
      </c>
      <c r="I25" s="29">
        <v>1430.1004663432639</v>
      </c>
      <c r="J25" s="3"/>
      <c r="K25" s="12"/>
    </row>
    <row r="26" spans="1:11" s="13" customFormat="1" ht="27" customHeight="1" thickBot="1">
      <c r="A26" s="171" t="s">
        <v>46</v>
      </c>
      <c r="B26" s="172"/>
      <c r="C26" s="173"/>
      <c r="D26" s="30">
        <f aca="true" t="shared" si="1" ref="D26:I26">SUM(D9:D25)</f>
        <v>18878.870039735993</v>
      </c>
      <c r="E26" s="30">
        <f t="shared" si="1"/>
        <v>20379.70599022572</v>
      </c>
      <c r="F26" s="30">
        <f t="shared" si="1"/>
        <v>23374.711221921614</v>
      </c>
      <c r="G26" s="30">
        <f t="shared" si="1"/>
        <v>25668.437448092653</v>
      </c>
      <c r="H26" s="30">
        <f t="shared" si="1"/>
        <v>27169.273398582376</v>
      </c>
      <c r="I26" s="30">
        <f t="shared" si="1"/>
        <v>28670.109349072103</v>
      </c>
      <c r="J26" s="3"/>
      <c r="K26" s="12"/>
    </row>
    <row r="27" spans="1:11" s="13" customFormat="1" ht="13.5" thickBot="1">
      <c r="A27" s="129"/>
      <c r="B27" s="130"/>
      <c r="C27" s="130"/>
      <c r="D27" s="31"/>
      <c r="E27" s="31"/>
      <c r="F27" s="31"/>
      <c r="G27" s="31"/>
      <c r="H27" s="31"/>
      <c r="I27" s="31"/>
      <c r="J27" s="3"/>
      <c r="K27" s="12"/>
    </row>
    <row r="28" spans="1:11" ht="13.5" thickBot="1">
      <c r="A28" s="168" t="s">
        <v>47</v>
      </c>
      <c r="B28" s="169"/>
      <c r="C28" s="170"/>
      <c r="D28" s="30">
        <v>7305.268576559281</v>
      </c>
      <c r="E28" s="30">
        <v>7305.268576559281</v>
      </c>
      <c r="F28" s="30">
        <v>7305.268576559281</v>
      </c>
      <c r="G28" s="30">
        <v>7305.268576559281</v>
      </c>
      <c r="H28" s="30">
        <v>7305.268576559281</v>
      </c>
      <c r="I28" s="30">
        <v>7305.268576559281</v>
      </c>
      <c r="J28" s="27"/>
      <c r="K28" s="3"/>
    </row>
    <row r="29" spans="1:11" ht="13.5" thickBot="1">
      <c r="A29" s="129"/>
      <c r="B29" s="130"/>
      <c r="C29" s="130"/>
      <c r="D29" s="31"/>
      <c r="E29" s="31"/>
      <c r="F29" s="31"/>
      <c r="G29" s="31"/>
      <c r="H29" s="31"/>
      <c r="I29" s="31"/>
      <c r="J29" s="3"/>
      <c r="K29" s="14"/>
    </row>
    <row r="30" spans="1:11" ht="25.5" customHeight="1" thickBot="1">
      <c r="A30" s="171" t="s">
        <v>48</v>
      </c>
      <c r="B30" s="172"/>
      <c r="C30" s="173"/>
      <c r="D30" s="30">
        <f aca="true" t="shared" si="2" ref="D30:I30">D26+D28</f>
        <v>26184.138616295277</v>
      </c>
      <c r="E30" s="30">
        <f t="shared" si="2"/>
        <v>27684.974566785</v>
      </c>
      <c r="F30" s="30">
        <f t="shared" si="2"/>
        <v>30679.979798480897</v>
      </c>
      <c r="G30" s="30">
        <f t="shared" si="2"/>
        <v>32973.70602465193</v>
      </c>
      <c r="H30" s="30">
        <f t="shared" si="2"/>
        <v>34474.541975141656</v>
      </c>
      <c r="I30" s="30">
        <f t="shared" si="2"/>
        <v>35975.37792563139</v>
      </c>
      <c r="J30" s="3"/>
      <c r="K30" s="14"/>
    </row>
    <row r="31" spans="1:11" ht="13.5" thickBot="1">
      <c r="A31" s="124"/>
      <c r="B31" s="125"/>
      <c r="C31" s="125"/>
      <c r="D31" s="33"/>
      <c r="E31" s="33"/>
      <c r="F31" s="33"/>
      <c r="G31" s="33"/>
      <c r="H31" s="33"/>
      <c r="I31" s="33"/>
      <c r="J31" s="3"/>
      <c r="K31" s="14"/>
    </row>
    <row r="32" spans="1:11" ht="24.75" customHeight="1" thickBot="1">
      <c r="A32" s="171" t="s">
        <v>49</v>
      </c>
      <c r="B32" s="174"/>
      <c r="C32" s="175"/>
      <c r="D32" s="30">
        <f aca="true" t="shared" si="3" ref="D32:I32">D30/D5</f>
        <v>2909.34873514392</v>
      </c>
      <c r="E32" s="30">
        <f t="shared" si="3"/>
        <v>2768.4974566785</v>
      </c>
      <c r="F32" s="30">
        <f t="shared" si="3"/>
        <v>2556.6649832067415</v>
      </c>
      <c r="G32" s="30">
        <f t="shared" si="3"/>
        <v>2355.2647160465667</v>
      </c>
      <c r="H32" s="30">
        <f t="shared" si="3"/>
        <v>2298.302798342777</v>
      </c>
      <c r="I32" s="30">
        <f t="shared" si="3"/>
        <v>2248.4611203519617</v>
      </c>
      <c r="J32" s="3"/>
      <c r="K32" s="14"/>
    </row>
    <row r="33" spans="1:11" ht="13.5" thickBot="1">
      <c r="A33" s="115"/>
      <c r="B33" s="116"/>
      <c r="C33" s="116"/>
      <c r="D33" s="33"/>
      <c r="E33" s="33"/>
      <c r="F33" s="33"/>
      <c r="G33" s="33"/>
      <c r="H33" s="33"/>
      <c r="I33" s="33"/>
      <c r="J33" s="3"/>
      <c r="K33" s="14"/>
    </row>
    <row r="34" spans="1:11" ht="13.5" thickBot="1">
      <c r="A34" s="118" t="s">
        <v>50</v>
      </c>
      <c r="B34" s="119"/>
      <c r="C34" s="119"/>
      <c r="D34" s="30">
        <f>'Pryse + Sensatiwiteitsanalise'!D4</f>
        <v>190</v>
      </c>
      <c r="E34" s="30">
        <f>$D$34</f>
        <v>190</v>
      </c>
      <c r="F34" s="30">
        <f>$D$34</f>
        <v>190</v>
      </c>
      <c r="G34" s="30">
        <f>$D$34</f>
        <v>190</v>
      </c>
      <c r="H34" s="30">
        <f>$D$34</f>
        <v>190</v>
      </c>
      <c r="I34" s="30">
        <f>$D$34</f>
        <v>190</v>
      </c>
      <c r="J34" s="3"/>
      <c r="K34" s="3"/>
    </row>
    <row r="35" spans="1:11" ht="13.5" thickBot="1">
      <c r="A35" s="115"/>
      <c r="B35" s="116"/>
      <c r="C35" s="116"/>
      <c r="D35" s="33"/>
      <c r="E35" s="33"/>
      <c r="F35" s="33"/>
      <c r="G35" s="33"/>
      <c r="H35" s="33"/>
      <c r="I35" s="33"/>
      <c r="J35" s="3"/>
      <c r="K35" s="3"/>
    </row>
    <row r="36" spans="1:10" ht="25.5" customHeight="1" thickBot="1">
      <c r="A36" s="190" t="s">
        <v>51</v>
      </c>
      <c r="B36" s="191"/>
      <c r="C36" s="192"/>
      <c r="D36" s="32">
        <f aca="true" t="shared" si="4" ref="D36:I36">D32+D34</f>
        <v>3099.34873514392</v>
      </c>
      <c r="E36" s="32">
        <f t="shared" si="4"/>
        <v>2958.4974566785</v>
      </c>
      <c r="F36" s="32">
        <f t="shared" si="4"/>
        <v>2746.6649832067415</v>
      </c>
      <c r="G36" s="32">
        <f t="shared" si="4"/>
        <v>2545.2647160465667</v>
      </c>
      <c r="H36" s="32">
        <f t="shared" si="4"/>
        <v>2488.302798342777</v>
      </c>
      <c r="I36" s="32">
        <f t="shared" si="4"/>
        <v>2438.4611203519617</v>
      </c>
      <c r="J36" s="3"/>
    </row>
    <row r="37" spans="1:10" ht="13.5" thickBot="1">
      <c r="A37" s="112" t="s">
        <v>52</v>
      </c>
      <c r="B37" s="5"/>
      <c r="C37" s="6"/>
      <c r="D37" s="32">
        <f>'Pryse + Sensatiwiteitsanalise'!B4</f>
        <v>2000</v>
      </c>
      <c r="E37" s="32">
        <f>$D$37</f>
        <v>2000</v>
      </c>
      <c r="F37" s="32">
        <f>$D$37</f>
        <v>2000</v>
      </c>
      <c r="G37" s="32">
        <f>$D$37</f>
        <v>2000</v>
      </c>
      <c r="H37" s="32">
        <f>$D$37</f>
        <v>2000</v>
      </c>
      <c r="I37" s="32">
        <f>$D$37</f>
        <v>2000</v>
      </c>
      <c r="J37" s="14"/>
    </row>
    <row r="38" spans="1:10" ht="14.25">
      <c r="A38" s="131" t="s">
        <v>56</v>
      </c>
      <c r="B38" s="132"/>
      <c r="C38" s="132"/>
      <c r="D38" s="132"/>
      <c r="E38" s="132"/>
      <c r="F38" s="132"/>
      <c r="G38" s="132"/>
      <c r="H38" s="133"/>
      <c r="I38" s="39"/>
      <c r="J38" s="39"/>
    </row>
    <row r="39" spans="1:10" ht="14.25">
      <c r="A39" s="134" t="s">
        <v>57</v>
      </c>
      <c r="B39" s="135"/>
      <c r="C39" s="135"/>
      <c r="D39" s="135"/>
      <c r="E39" s="135"/>
      <c r="F39" s="135"/>
      <c r="G39" s="135"/>
      <c r="H39" s="136"/>
      <c r="I39" s="39"/>
      <c r="J39" s="39"/>
    </row>
    <row r="40" spans="1:10" ht="15" thickBot="1">
      <c r="A40" s="137" t="s">
        <v>58</v>
      </c>
      <c r="B40" s="138"/>
      <c r="C40" s="138"/>
      <c r="D40" s="138"/>
      <c r="E40" s="138"/>
      <c r="F40" s="138"/>
      <c r="G40" s="138"/>
      <c r="H40" s="139"/>
      <c r="I40" s="39"/>
      <c r="J40" s="39"/>
    </row>
    <row r="41" spans="1:10" ht="12.75">
      <c r="A41" s="177" t="s">
        <v>59</v>
      </c>
      <c r="B41" s="178"/>
      <c r="C41" s="178"/>
      <c r="D41" s="178"/>
      <c r="E41" s="178"/>
      <c r="F41" s="178"/>
      <c r="G41" s="178"/>
      <c r="H41" s="179"/>
      <c r="I41"/>
      <c r="J41"/>
    </row>
    <row r="42" spans="1:10" ht="12.75">
      <c r="A42" s="180"/>
      <c r="B42" s="181"/>
      <c r="C42" s="181"/>
      <c r="D42" s="181"/>
      <c r="E42" s="181"/>
      <c r="F42" s="181"/>
      <c r="G42" s="181"/>
      <c r="H42" s="182"/>
      <c r="I42"/>
      <c r="J42"/>
    </row>
    <row r="43" spans="1:10" ht="12.75">
      <c r="A43" s="180"/>
      <c r="B43" s="181"/>
      <c r="C43" s="181"/>
      <c r="D43" s="181"/>
      <c r="E43" s="181"/>
      <c r="F43" s="181"/>
      <c r="G43" s="181"/>
      <c r="H43" s="182"/>
      <c r="I43"/>
      <c r="J43"/>
    </row>
    <row r="44" spans="1:10" ht="13.5" thickBot="1">
      <c r="A44" s="183"/>
      <c r="B44" s="184"/>
      <c r="C44" s="184"/>
      <c r="D44" s="184"/>
      <c r="E44" s="184"/>
      <c r="F44" s="184"/>
      <c r="G44" s="184"/>
      <c r="H44" s="185"/>
      <c r="I44"/>
      <c r="J44"/>
    </row>
  </sheetData>
  <sheetProtection/>
  <mergeCells count="11">
    <mergeCell ref="A26:C26"/>
    <mergeCell ref="A28:C28"/>
    <mergeCell ref="A30:C30"/>
    <mergeCell ref="A32:C32"/>
    <mergeCell ref="Z7:AB7"/>
    <mergeCell ref="A41:H44"/>
    <mergeCell ref="A1:D1"/>
    <mergeCell ref="E1:G1"/>
    <mergeCell ref="A36:C36"/>
    <mergeCell ref="A3:C3"/>
    <mergeCell ref="A8:C8"/>
  </mergeCell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portrait" scale="53" r:id="rId2"/>
  <headerFooter alignWithMargins="0">
    <oddHeader>&amp;C&amp;F</oddHeader>
    <oddFooter>&amp;C&amp;A&amp;RPage &amp;P</oddFooter>
  </headerFooter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1" customWidth="1"/>
    <col min="2" max="2" width="15.7109375" style="1" bestFit="1" customWidth="1"/>
    <col min="3" max="4" width="14.421875" style="1" customWidth="1"/>
    <col min="5" max="9" width="14.28125" style="1" customWidth="1"/>
    <col min="10" max="10" width="14.421875" style="1" customWidth="1"/>
    <col min="11" max="26" width="12.7109375" style="1" hidden="1" customWidth="1"/>
    <col min="27" max="29" width="0" style="1" hidden="1" customWidth="1"/>
    <col min="30" max="16384" width="9.140625" style="1" customWidth="1"/>
  </cols>
  <sheetData>
    <row r="1" spans="1:11" ht="33" customHeight="1" thickBot="1">
      <c r="A1" s="186" t="s">
        <v>55</v>
      </c>
      <c r="B1" s="187"/>
      <c r="C1" s="187"/>
      <c r="D1" s="187"/>
      <c r="E1" s="188" t="s">
        <v>82</v>
      </c>
      <c r="F1" s="189"/>
      <c r="G1" s="189"/>
      <c r="H1" s="2"/>
      <c r="I1" s="15"/>
      <c r="J1" s="14"/>
      <c r="K1" s="14"/>
    </row>
    <row r="2" spans="1:11" ht="15.75" thickBot="1">
      <c r="A2" s="16"/>
      <c r="B2" s="17"/>
      <c r="C2" s="18"/>
      <c r="D2" s="18"/>
      <c r="E2" s="11"/>
      <c r="F2" s="11"/>
      <c r="G2" s="11"/>
      <c r="H2" s="11"/>
      <c r="I2" s="4"/>
      <c r="J2" s="3"/>
      <c r="K2" s="14"/>
    </row>
    <row r="3" spans="1:11" ht="25.5" customHeight="1" thickBot="1">
      <c r="A3" s="190" t="s">
        <v>25</v>
      </c>
      <c r="B3" s="191"/>
      <c r="C3" s="191"/>
      <c r="D3" s="19"/>
      <c r="E3" s="34">
        <f>'Pryse + Sensatiwiteitsanalise'!B33</f>
        <v>4732</v>
      </c>
      <c r="F3" s="5" t="s">
        <v>0</v>
      </c>
      <c r="G3" s="5"/>
      <c r="H3" s="20"/>
      <c r="I3" s="6"/>
      <c r="K3" s="14"/>
    </row>
    <row r="4" spans="1:11" ht="13.5" thickBot="1">
      <c r="A4" s="113"/>
      <c r="B4" s="8"/>
      <c r="C4" s="8"/>
      <c r="D4" s="7"/>
      <c r="E4" s="10"/>
      <c r="F4" s="21"/>
      <c r="G4" s="8"/>
      <c r="H4" s="22"/>
      <c r="I4" s="22"/>
      <c r="J4" s="3"/>
      <c r="K4" s="14"/>
    </row>
    <row r="5" spans="1:11" ht="13.5" thickBot="1">
      <c r="A5" s="121" t="s">
        <v>26</v>
      </c>
      <c r="B5" s="8"/>
      <c r="C5" s="8"/>
      <c r="D5" s="23">
        <v>1.5</v>
      </c>
      <c r="E5" s="23">
        <v>2</v>
      </c>
      <c r="F5" s="23">
        <v>2.5</v>
      </c>
      <c r="G5" s="23">
        <v>3</v>
      </c>
      <c r="H5" s="23"/>
      <c r="I5" s="24"/>
      <c r="J5" s="3"/>
      <c r="K5" s="14"/>
    </row>
    <row r="6" spans="1:11" ht="13.5" thickBot="1">
      <c r="A6" s="122" t="s">
        <v>27</v>
      </c>
      <c r="B6" s="119"/>
      <c r="C6" s="120"/>
      <c r="D6" s="9">
        <f>$E$3*D5</f>
        <v>7098</v>
      </c>
      <c r="E6" s="9">
        <f>$E$3*E5</f>
        <v>9464</v>
      </c>
      <c r="F6" s="9">
        <f>$E$3*F5</f>
        <v>11830</v>
      </c>
      <c r="G6" s="9">
        <f>$E$3*G5</f>
        <v>14196</v>
      </c>
      <c r="H6" s="9"/>
      <c r="I6" s="9"/>
      <c r="J6" s="3"/>
      <c r="K6" s="14"/>
    </row>
    <row r="7" spans="1:28" ht="15" thickBot="1">
      <c r="A7" s="115"/>
      <c r="B7" s="116"/>
      <c r="C7" s="116"/>
      <c r="D7" s="25"/>
      <c r="E7" s="25"/>
      <c r="F7" s="25"/>
      <c r="G7" s="25"/>
      <c r="H7" s="25"/>
      <c r="I7" s="25"/>
      <c r="J7" s="3"/>
      <c r="K7" s="14"/>
      <c r="Z7" s="176" t="s">
        <v>72</v>
      </c>
      <c r="AA7" s="176"/>
      <c r="AB7" s="176"/>
    </row>
    <row r="8" spans="1:28" ht="15" thickBot="1">
      <c r="A8" s="193" t="s">
        <v>28</v>
      </c>
      <c r="B8" s="194"/>
      <c r="C8" s="195"/>
      <c r="D8" s="26"/>
      <c r="E8" s="26"/>
      <c r="F8" s="26"/>
      <c r="G8" s="26"/>
      <c r="H8" s="26"/>
      <c r="I8" s="26"/>
      <c r="J8" s="3"/>
      <c r="K8" s="14"/>
      <c r="Z8" s="143" t="s">
        <v>68</v>
      </c>
      <c r="AA8" s="143" t="s">
        <v>69</v>
      </c>
      <c r="AB8" s="143" t="s">
        <v>70</v>
      </c>
    </row>
    <row r="9" spans="1:28" ht="14.25">
      <c r="A9" s="126" t="s">
        <v>29</v>
      </c>
      <c r="B9" s="127"/>
      <c r="C9" s="127"/>
      <c r="D9" s="28">
        <v>820</v>
      </c>
      <c r="E9" s="28">
        <v>820</v>
      </c>
      <c r="F9" s="28">
        <v>820</v>
      </c>
      <c r="G9" s="28">
        <v>820</v>
      </c>
      <c r="H9" s="28">
        <v>0</v>
      </c>
      <c r="I9" s="28">
        <v>0</v>
      </c>
      <c r="J9" s="3"/>
      <c r="K9" s="14"/>
      <c r="Z9" s="144">
        <f>D5</f>
        <v>1.5</v>
      </c>
      <c r="AA9" s="144">
        <f>D26</f>
        <v>6890.966026621129</v>
      </c>
      <c r="AB9" s="144">
        <f>D28</f>
        <v>7305.268576559281</v>
      </c>
    </row>
    <row r="10" spans="1:28" ht="14.25">
      <c r="A10" s="123" t="s">
        <v>30</v>
      </c>
      <c r="B10" s="128"/>
      <c r="C10" s="128"/>
      <c r="D10" s="29">
        <v>1523.55</v>
      </c>
      <c r="E10" s="29">
        <v>1831.4</v>
      </c>
      <c r="F10" s="29">
        <v>2139.25</v>
      </c>
      <c r="G10" s="29">
        <v>2447.1</v>
      </c>
      <c r="H10" s="29">
        <v>0</v>
      </c>
      <c r="I10" s="29">
        <v>0</v>
      </c>
      <c r="J10" s="3"/>
      <c r="K10" s="14"/>
      <c r="Z10" s="144">
        <f>E5</f>
        <v>2</v>
      </c>
      <c r="AA10" s="144">
        <f>E26</f>
        <v>7594.8455167798875</v>
      </c>
      <c r="AB10" s="144">
        <f>E28</f>
        <v>7305.268576559281</v>
      </c>
    </row>
    <row r="11" spans="1:28" ht="14.25">
      <c r="A11" s="123" t="s">
        <v>31</v>
      </c>
      <c r="B11" s="128"/>
      <c r="C11" s="128"/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"/>
      <c r="K11" s="14"/>
      <c r="Z11" s="144">
        <f>F5</f>
        <v>2.5</v>
      </c>
      <c r="AA11" s="144">
        <f>F26</f>
        <v>8298.725006938648</v>
      </c>
      <c r="AB11" s="144">
        <f>F28</f>
        <v>7305.268576559281</v>
      </c>
    </row>
    <row r="12" spans="1:28" ht="14.25">
      <c r="A12" s="123" t="s">
        <v>32</v>
      </c>
      <c r="B12" s="128"/>
      <c r="C12" s="128"/>
      <c r="D12" s="29">
        <v>737.0781030585363</v>
      </c>
      <c r="E12" s="29">
        <v>761.6047274349294</v>
      </c>
      <c r="F12" s="29">
        <v>786.1313518113225</v>
      </c>
      <c r="G12" s="29">
        <v>810.6579761877155</v>
      </c>
      <c r="H12" s="29">
        <v>0</v>
      </c>
      <c r="I12" s="29">
        <v>0</v>
      </c>
      <c r="J12" s="3"/>
      <c r="K12" s="14"/>
      <c r="Z12" s="144">
        <f>G5</f>
        <v>3</v>
      </c>
      <c r="AA12" s="144">
        <f>G26</f>
        <v>9273.830291086982</v>
      </c>
      <c r="AB12" s="144">
        <f>G28</f>
        <v>7305.268576559281</v>
      </c>
    </row>
    <row r="13" spans="1:28" ht="14.25">
      <c r="A13" s="123" t="s">
        <v>33</v>
      </c>
      <c r="B13" s="128"/>
      <c r="C13" s="128"/>
      <c r="D13" s="29">
        <v>538.1949999999999</v>
      </c>
      <c r="E13" s="29">
        <v>541.26</v>
      </c>
      <c r="F13" s="29">
        <v>544.325</v>
      </c>
      <c r="G13" s="29">
        <v>547.39</v>
      </c>
      <c r="H13" s="29">
        <v>0</v>
      </c>
      <c r="I13" s="29">
        <v>0</v>
      </c>
      <c r="J13" s="3"/>
      <c r="K13" s="14"/>
      <c r="Z13" s="144"/>
      <c r="AA13" s="144"/>
      <c r="AB13" s="144"/>
    </row>
    <row r="14" spans="1:28" s="13" customFormat="1" ht="14.25">
      <c r="A14" s="123" t="s">
        <v>34</v>
      </c>
      <c r="B14" s="128"/>
      <c r="C14" s="128"/>
      <c r="D14" s="29">
        <v>772.3494130000001</v>
      </c>
      <c r="E14" s="29">
        <v>772.3494130000001</v>
      </c>
      <c r="F14" s="29">
        <v>772.3494130000001</v>
      </c>
      <c r="G14" s="29">
        <v>772.3494130000001</v>
      </c>
      <c r="H14" s="29">
        <v>0</v>
      </c>
      <c r="I14" s="29">
        <v>0</v>
      </c>
      <c r="J14" s="3"/>
      <c r="K14" s="14"/>
      <c r="Z14" s="144"/>
      <c r="AA14" s="144"/>
      <c r="AB14" s="144"/>
    </row>
    <row r="15" spans="1:11" s="13" customFormat="1" ht="12.75">
      <c r="A15" s="123" t="s">
        <v>35</v>
      </c>
      <c r="B15" s="128"/>
      <c r="C15" s="128"/>
      <c r="D15" s="29">
        <v>33.396</v>
      </c>
      <c r="E15" s="29">
        <v>33.396</v>
      </c>
      <c r="F15" s="29">
        <v>33.396</v>
      </c>
      <c r="G15" s="29">
        <v>33.396</v>
      </c>
      <c r="H15" s="29">
        <v>0</v>
      </c>
      <c r="I15" s="29">
        <v>0</v>
      </c>
      <c r="J15" s="3"/>
      <c r="K15" s="14"/>
    </row>
    <row r="16" spans="1:11" s="13" customFormat="1" ht="12.75">
      <c r="A16" s="123" t="s">
        <v>36</v>
      </c>
      <c r="B16" s="128"/>
      <c r="C16" s="128"/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"/>
      <c r="K16" s="14"/>
    </row>
    <row r="17" spans="1:11" s="13" customFormat="1" ht="12.75">
      <c r="A17" s="114" t="s">
        <v>37</v>
      </c>
      <c r="B17" s="117"/>
      <c r="C17" s="117"/>
      <c r="D17" s="29">
        <v>1329.7960345600002</v>
      </c>
      <c r="E17" s="29">
        <v>1569.7450432000003</v>
      </c>
      <c r="F17" s="29">
        <v>1809.6940518400004</v>
      </c>
      <c r="G17" s="29">
        <v>2289.5920691200004</v>
      </c>
      <c r="H17" s="29">
        <v>0</v>
      </c>
      <c r="I17" s="29">
        <v>0</v>
      </c>
      <c r="J17" s="3"/>
      <c r="K17" s="14"/>
    </row>
    <row r="18" spans="1:11" s="13" customFormat="1" ht="12.75">
      <c r="A18" s="123" t="s">
        <v>38</v>
      </c>
      <c r="B18" s="128"/>
      <c r="C18" s="128"/>
      <c r="D18" s="29">
        <v>450.91157918776156</v>
      </c>
      <c r="E18" s="29">
        <v>496.9700579611634</v>
      </c>
      <c r="F18" s="29">
        <v>543.0285367345654</v>
      </c>
      <c r="G18" s="29">
        <v>606.834723247612</v>
      </c>
      <c r="H18" s="29">
        <v>0</v>
      </c>
      <c r="I18" s="29">
        <v>0</v>
      </c>
      <c r="J18" s="3"/>
      <c r="K18" s="14"/>
    </row>
    <row r="19" spans="1:11" s="13" customFormat="1" ht="12.75">
      <c r="A19" s="123" t="s">
        <v>39</v>
      </c>
      <c r="B19" s="128"/>
      <c r="C19" s="128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"/>
      <c r="K19" s="14"/>
    </row>
    <row r="20" spans="1:11" s="13" customFormat="1" ht="12.75">
      <c r="A20" s="123" t="s">
        <v>40</v>
      </c>
      <c r="B20" s="128"/>
      <c r="C20" s="128"/>
      <c r="D20" s="29">
        <v>141.96</v>
      </c>
      <c r="E20" s="29">
        <v>189.28</v>
      </c>
      <c r="F20" s="29">
        <v>236.6</v>
      </c>
      <c r="G20" s="29">
        <v>283.92</v>
      </c>
      <c r="H20" s="29">
        <v>0</v>
      </c>
      <c r="I20" s="29">
        <v>0</v>
      </c>
      <c r="J20" s="3"/>
      <c r="K20" s="14"/>
    </row>
    <row r="21" spans="1:11" s="13" customFormat="1" ht="12.75">
      <c r="A21" s="123" t="s">
        <v>41</v>
      </c>
      <c r="B21" s="128"/>
      <c r="C21" s="128"/>
      <c r="D21" s="29">
        <v>200</v>
      </c>
      <c r="E21" s="29">
        <v>200</v>
      </c>
      <c r="F21" s="29">
        <v>200</v>
      </c>
      <c r="G21" s="29">
        <v>200</v>
      </c>
      <c r="H21" s="29">
        <v>0</v>
      </c>
      <c r="I21" s="29">
        <v>0</v>
      </c>
      <c r="J21" s="3"/>
      <c r="K21" s="14"/>
    </row>
    <row r="22" spans="1:11" s="13" customFormat="1" ht="12.75">
      <c r="A22" s="123" t="s">
        <v>42</v>
      </c>
      <c r="B22" s="128"/>
      <c r="C22" s="128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"/>
      <c r="K22" s="12"/>
    </row>
    <row r="23" spans="1:11" s="13" customFormat="1" ht="12.75">
      <c r="A23" s="123" t="s">
        <v>43</v>
      </c>
      <c r="B23" s="128"/>
      <c r="C23" s="128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"/>
      <c r="K23" s="12"/>
    </row>
    <row r="24" spans="1:11" s="13" customFormat="1" ht="12.75">
      <c r="A24" s="123" t="s">
        <v>44</v>
      </c>
      <c r="B24" s="128"/>
      <c r="C24" s="128"/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3"/>
      <c r="K24" s="12"/>
    </row>
    <row r="25" spans="1:11" s="13" customFormat="1" ht="13.5" thickBot="1">
      <c r="A25" s="123" t="s">
        <v>45</v>
      </c>
      <c r="B25" s="128"/>
      <c r="C25" s="128"/>
      <c r="D25" s="29">
        <v>343.7298968148306</v>
      </c>
      <c r="E25" s="29">
        <v>378.84027518379486</v>
      </c>
      <c r="F25" s="29">
        <v>413.95065355275915</v>
      </c>
      <c r="G25" s="29">
        <v>462.59010953165466</v>
      </c>
      <c r="H25" s="29">
        <v>0</v>
      </c>
      <c r="I25" s="29">
        <v>0</v>
      </c>
      <c r="J25" s="3"/>
      <c r="K25" s="12"/>
    </row>
    <row r="26" spans="1:11" s="13" customFormat="1" ht="24.75" customHeight="1" thickBot="1">
      <c r="A26" s="171" t="s">
        <v>46</v>
      </c>
      <c r="B26" s="172"/>
      <c r="C26" s="173"/>
      <c r="D26" s="30">
        <f>SUM(D9:D25)</f>
        <v>6890.966026621129</v>
      </c>
      <c r="E26" s="30">
        <f>SUM(E9:E25)</f>
        <v>7594.8455167798875</v>
      </c>
      <c r="F26" s="30">
        <f>SUM(F9:F25)</f>
        <v>8298.725006938648</v>
      </c>
      <c r="G26" s="30">
        <f>SUM(G9:G25)</f>
        <v>9273.830291086982</v>
      </c>
      <c r="H26" s="30">
        <v>0</v>
      </c>
      <c r="I26" s="30">
        <v>0</v>
      </c>
      <c r="J26" s="3"/>
      <c r="K26" s="12"/>
    </row>
    <row r="27" spans="1:11" s="13" customFormat="1" ht="13.5" thickBot="1">
      <c r="A27" s="129"/>
      <c r="B27" s="130"/>
      <c r="C27" s="130"/>
      <c r="D27" s="31"/>
      <c r="E27" s="31"/>
      <c r="F27" s="31"/>
      <c r="G27" s="31"/>
      <c r="H27" s="31"/>
      <c r="I27" s="31"/>
      <c r="J27" s="3"/>
      <c r="K27" s="12"/>
    </row>
    <row r="28" spans="1:11" ht="13.5" thickBot="1">
      <c r="A28" s="168" t="s">
        <v>47</v>
      </c>
      <c r="B28" s="169"/>
      <c r="C28" s="170"/>
      <c r="D28" s="30">
        <v>7305.268576559281</v>
      </c>
      <c r="E28" s="30">
        <v>7305.268576559281</v>
      </c>
      <c r="F28" s="30">
        <v>7305.268576559281</v>
      </c>
      <c r="G28" s="30">
        <v>7305.268576559281</v>
      </c>
      <c r="H28" s="30">
        <v>0</v>
      </c>
      <c r="I28" s="30">
        <v>0</v>
      </c>
      <c r="J28" s="27"/>
      <c r="K28" s="3"/>
    </row>
    <row r="29" spans="1:11" ht="13.5" thickBot="1">
      <c r="A29" s="129"/>
      <c r="B29" s="130"/>
      <c r="C29" s="130"/>
      <c r="D29" s="31"/>
      <c r="E29" s="31"/>
      <c r="F29" s="31"/>
      <c r="G29" s="31"/>
      <c r="H29" s="31"/>
      <c r="I29" s="31"/>
      <c r="J29" s="3"/>
      <c r="K29" s="14"/>
    </row>
    <row r="30" spans="1:11" ht="24.75" customHeight="1" thickBot="1">
      <c r="A30" s="171" t="s">
        <v>48</v>
      </c>
      <c r="B30" s="172"/>
      <c r="C30" s="173"/>
      <c r="D30" s="30">
        <f>D26+D28</f>
        <v>14196.23460318041</v>
      </c>
      <c r="E30" s="30">
        <f>E26+E28</f>
        <v>14900.114093339169</v>
      </c>
      <c r="F30" s="30">
        <f>F26+F28</f>
        <v>15603.99358349793</v>
      </c>
      <c r="G30" s="30">
        <f>G26+G28</f>
        <v>16579.098867646266</v>
      </c>
      <c r="H30" s="30">
        <v>0</v>
      </c>
      <c r="I30" s="30">
        <v>0</v>
      </c>
      <c r="J30" s="3"/>
      <c r="K30" s="14"/>
    </row>
    <row r="31" spans="1:11" ht="13.5" thickBot="1">
      <c r="A31" s="124"/>
      <c r="B31" s="125"/>
      <c r="C31" s="125"/>
      <c r="D31" s="33"/>
      <c r="E31" s="33"/>
      <c r="F31" s="33"/>
      <c r="G31" s="33"/>
      <c r="H31" s="33"/>
      <c r="I31" s="33"/>
      <c r="J31" s="3"/>
      <c r="K31" s="14"/>
    </row>
    <row r="32" spans="1:11" ht="24.75" customHeight="1" thickBot="1">
      <c r="A32" s="171" t="s">
        <v>49</v>
      </c>
      <c r="B32" s="174"/>
      <c r="C32" s="175"/>
      <c r="D32" s="30">
        <f>D30/D5</f>
        <v>9464.156402120274</v>
      </c>
      <c r="E32" s="30">
        <f>E30/E5</f>
        <v>7450.057046669584</v>
      </c>
      <c r="F32" s="30">
        <f>F30/F5</f>
        <v>6241.597433399172</v>
      </c>
      <c r="G32" s="30">
        <f>G30/G5</f>
        <v>5526.366289215422</v>
      </c>
      <c r="H32" s="30">
        <v>0</v>
      </c>
      <c r="I32" s="30">
        <v>0</v>
      </c>
      <c r="J32" s="3"/>
      <c r="K32" s="14"/>
    </row>
    <row r="33" spans="1:11" ht="13.5" thickBot="1">
      <c r="A33" s="115"/>
      <c r="B33" s="116"/>
      <c r="C33" s="116"/>
      <c r="D33" s="33"/>
      <c r="E33" s="33"/>
      <c r="F33" s="33"/>
      <c r="G33" s="33"/>
      <c r="H33" s="33"/>
      <c r="I33" s="33"/>
      <c r="J33" s="3"/>
      <c r="K33" s="14"/>
    </row>
    <row r="34" spans="1:11" ht="13.5" thickBot="1">
      <c r="A34" s="118" t="s">
        <v>50</v>
      </c>
      <c r="B34" s="119"/>
      <c r="C34" s="119"/>
      <c r="D34" s="30">
        <f>'Pryse + Sensatiwiteitsanalise'!D5</f>
        <v>168</v>
      </c>
      <c r="E34" s="30">
        <f>$D$34</f>
        <v>168</v>
      </c>
      <c r="F34" s="30">
        <f>$D$34</f>
        <v>168</v>
      </c>
      <c r="G34" s="30">
        <f>$D$34</f>
        <v>168</v>
      </c>
      <c r="H34" s="30"/>
      <c r="I34" s="30"/>
      <c r="J34" s="3"/>
      <c r="K34" s="3"/>
    </row>
    <row r="35" spans="1:11" ht="13.5" thickBot="1">
      <c r="A35" s="115"/>
      <c r="B35" s="116"/>
      <c r="C35" s="116"/>
      <c r="D35" s="33"/>
      <c r="E35" s="33"/>
      <c r="F35" s="33"/>
      <c r="G35" s="33"/>
      <c r="H35" s="33"/>
      <c r="I35" s="33"/>
      <c r="J35" s="3"/>
      <c r="K35" s="3"/>
    </row>
    <row r="36" spans="1:10" ht="12" customHeight="1" thickBot="1">
      <c r="A36" s="190" t="s">
        <v>51</v>
      </c>
      <c r="B36" s="191"/>
      <c r="C36" s="192"/>
      <c r="D36" s="32">
        <f>D32+D34</f>
        <v>9632.156402120274</v>
      </c>
      <c r="E36" s="32">
        <f>E32+E34</f>
        <v>7618.057046669584</v>
      </c>
      <c r="F36" s="32">
        <f>F32+F34</f>
        <v>6409.597433399172</v>
      </c>
      <c r="G36" s="32">
        <f>G32+G34</f>
        <v>5694.366289215422</v>
      </c>
      <c r="H36" s="32">
        <v>0</v>
      </c>
      <c r="I36" s="32">
        <v>0</v>
      </c>
      <c r="J36" s="3"/>
    </row>
    <row r="37" spans="1:10" ht="13.5" thickBot="1">
      <c r="A37" s="112" t="s">
        <v>52</v>
      </c>
      <c r="B37" s="5"/>
      <c r="C37" s="6"/>
      <c r="D37" s="32">
        <f>'Pryse + Sensatiwiteitsanalise'!B5</f>
        <v>4900</v>
      </c>
      <c r="E37" s="32">
        <f>$D$37</f>
        <v>4900</v>
      </c>
      <c r="F37" s="32">
        <f>$D$37</f>
        <v>4900</v>
      </c>
      <c r="G37" s="32">
        <f>$D$37</f>
        <v>4900</v>
      </c>
      <c r="H37" s="32">
        <v>0</v>
      </c>
      <c r="I37" s="32">
        <v>0</v>
      </c>
      <c r="J37" s="14"/>
    </row>
    <row r="38" spans="1:10" ht="14.25">
      <c r="A38" s="131" t="s">
        <v>56</v>
      </c>
      <c r="B38" s="132"/>
      <c r="C38" s="132"/>
      <c r="D38" s="132"/>
      <c r="E38" s="132"/>
      <c r="F38" s="132"/>
      <c r="G38" s="132"/>
      <c r="H38" s="133"/>
      <c r="I38" s="39"/>
      <c r="J38" s="39"/>
    </row>
    <row r="39" spans="1:10" ht="14.25">
      <c r="A39" s="134" t="s">
        <v>57</v>
      </c>
      <c r="B39" s="135"/>
      <c r="C39" s="135"/>
      <c r="D39" s="135"/>
      <c r="E39" s="135"/>
      <c r="F39" s="135"/>
      <c r="G39" s="135"/>
      <c r="H39" s="136"/>
      <c r="I39" s="39"/>
      <c r="J39" s="39"/>
    </row>
    <row r="40" spans="1:10" ht="15" thickBot="1">
      <c r="A40" s="137" t="s">
        <v>58</v>
      </c>
      <c r="B40" s="138"/>
      <c r="C40" s="138"/>
      <c r="D40" s="138"/>
      <c r="E40" s="138"/>
      <c r="F40" s="138"/>
      <c r="G40" s="138"/>
      <c r="H40" s="139"/>
      <c r="I40" s="39"/>
      <c r="J40" s="39"/>
    </row>
  </sheetData>
  <sheetProtection/>
  <mergeCells count="10">
    <mergeCell ref="Z7:AB7"/>
    <mergeCell ref="E1:G1"/>
    <mergeCell ref="A1:D1"/>
    <mergeCell ref="A36:C36"/>
    <mergeCell ref="A3:C3"/>
    <mergeCell ref="A8:C8"/>
    <mergeCell ref="A26:C26"/>
    <mergeCell ref="A28:C28"/>
    <mergeCell ref="A30:C30"/>
    <mergeCell ref="A32:C32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3" r:id="rId2"/>
  <headerFooter>
    <oddHeader>&amp;C&amp;F</oddHead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85" zoomScaleNormal="85" zoomScaleSheetLayoutView="80" workbookViewId="0" topLeftCell="A1">
      <selection activeCell="A1" sqref="A1:D1"/>
    </sheetView>
  </sheetViews>
  <sheetFormatPr defaultColWidth="9.140625" defaultRowHeight="12.75"/>
  <cols>
    <col min="1" max="1" width="41.7109375" style="1" customWidth="1"/>
    <col min="2" max="2" width="15.7109375" style="1" bestFit="1" customWidth="1"/>
    <col min="3" max="4" width="14.421875" style="1" customWidth="1"/>
    <col min="5" max="9" width="14.28125" style="1" customWidth="1"/>
    <col min="10" max="10" width="14.421875" style="1" customWidth="1"/>
    <col min="11" max="26" width="12.7109375" style="1" hidden="1" customWidth="1"/>
    <col min="27" max="27" width="10.28125" style="1" hidden="1" customWidth="1"/>
    <col min="28" max="29" width="0" style="1" hidden="1" customWidth="1"/>
    <col min="30" max="16384" width="9.140625" style="1" customWidth="1"/>
  </cols>
  <sheetData>
    <row r="1" spans="1:11" ht="33" customHeight="1" thickBot="1">
      <c r="A1" s="186" t="s">
        <v>53</v>
      </c>
      <c r="B1" s="187"/>
      <c r="C1" s="187"/>
      <c r="D1" s="187"/>
      <c r="E1" s="188" t="s">
        <v>82</v>
      </c>
      <c r="F1" s="189"/>
      <c r="G1" s="189"/>
      <c r="H1" s="2"/>
      <c r="I1" s="15"/>
      <c r="J1" s="14"/>
      <c r="K1" s="14"/>
    </row>
    <row r="2" spans="1:11" ht="15.75" thickBot="1">
      <c r="A2" s="16"/>
      <c r="B2" s="17"/>
      <c r="C2" s="18"/>
      <c r="D2" s="18"/>
      <c r="E2" s="11"/>
      <c r="F2" s="11"/>
      <c r="G2" s="11"/>
      <c r="H2" s="11"/>
      <c r="I2" s="4"/>
      <c r="J2" s="3"/>
      <c r="K2" s="14"/>
    </row>
    <row r="3" spans="1:11" ht="25.5" customHeight="1" thickBot="1">
      <c r="A3" s="190" t="s">
        <v>25</v>
      </c>
      <c r="B3" s="191"/>
      <c r="C3" s="191"/>
      <c r="D3" s="5"/>
      <c r="E3" s="34">
        <f>'Pryse + Sensatiwiteitsanalise'!B46</f>
        <v>4761</v>
      </c>
      <c r="F3" s="5" t="s">
        <v>0</v>
      </c>
      <c r="G3" s="20"/>
      <c r="H3" s="20"/>
      <c r="I3" s="6"/>
      <c r="K3" s="14"/>
    </row>
    <row r="4" spans="1:11" ht="13.5" thickBot="1">
      <c r="A4" s="113"/>
      <c r="B4" s="8"/>
      <c r="C4" s="8"/>
      <c r="D4" s="7"/>
      <c r="E4" s="10"/>
      <c r="F4" s="21"/>
      <c r="G4" s="8"/>
      <c r="H4" s="22"/>
      <c r="I4" s="22"/>
      <c r="J4" s="3"/>
      <c r="K4" s="14"/>
    </row>
    <row r="5" spans="1:11" ht="13.5" thickBot="1">
      <c r="A5" s="121" t="s">
        <v>26</v>
      </c>
      <c r="B5" s="8"/>
      <c r="C5" s="8"/>
      <c r="D5" s="23">
        <v>2.5</v>
      </c>
      <c r="E5" s="23">
        <v>3</v>
      </c>
      <c r="F5" s="23">
        <v>3.5</v>
      </c>
      <c r="G5" s="23">
        <v>4</v>
      </c>
      <c r="H5" s="23">
        <v>5</v>
      </c>
      <c r="I5" s="23">
        <v>6</v>
      </c>
      <c r="J5" s="3"/>
      <c r="K5" s="14"/>
    </row>
    <row r="6" spans="1:11" ht="13.5" thickBot="1">
      <c r="A6" s="122" t="s">
        <v>27</v>
      </c>
      <c r="B6" s="119"/>
      <c r="C6" s="120"/>
      <c r="D6" s="9">
        <f aca="true" t="shared" si="0" ref="D6:I6">$E$3*D5</f>
        <v>11902.5</v>
      </c>
      <c r="E6" s="9">
        <f t="shared" si="0"/>
        <v>14283</v>
      </c>
      <c r="F6" s="9">
        <f t="shared" si="0"/>
        <v>16663.5</v>
      </c>
      <c r="G6" s="9">
        <f t="shared" si="0"/>
        <v>19044</v>
      </c>
      <c r="H6" s="9">
        <f t="shared" si="0"/>
        <v>23805</v>
      </c>
      <c r="I6" s="9">
        <f t="shared" si="0"/>
        <v>28566</v>
      </c>
      <c r="J6" s="3"/>
      <c r="K6" s="14"/>
    </row>
    <row r="7" spans="1:28" ht="15" thickBot="1">
      <c r="A7" s="115"/>
      <c r="B7" s="116"/>
      <c r="C7" s="116"/>
      <c r="D7" s="25"/>
      <c r="E7" s="25"/>
      <c r="F7" s="25"/>
      <c r="G7" s="25"/>
      <c r="H7" s="25"/>
      <c r="I7" s="25"/>
      <c r="J7" s="3"/>
      <c r="K7" s="14"/>
      <c r="Z7" s="176" t="s">
        <v>73</v>
      </c>
      <c r="AA7" s="176"/>
      <c r="AB7" s="176"/>
    </row>
    <row r="8" spans="1:28" ht="15" thickBot="1">
      <c r="A8" s="193" t="s">
        <v>28</v>
      </c>
      <c r="B8" s="194"/>
      <c r="C8" s="195"/>
      <c r="D8" s="26"/>
      <c r="E8" s="26"/>
      <c r="F8" s="26"/>
      <c r="G8" s="26"/>
      <c r="H8" s="26"/>
      <c r="I8" s="26"/>
      <c r="J8" s="3"/>
      <c r="K8" s="14"/>
      <c r="Z8" s="143" t="s">
        <v>68</v>
      </c>
      <c r="AA8" s="143" t="s">
        <v>69</v>
      </c>
      <c r="AB8" s="143" t="s">
        <v>70</v>
      </c>
    </row>
    <row r="9" spans="1:28" ht="14.25">
      <c r="A9" s="126" t="s">
        <v>29</v>
      </c>
      <c r="B9" s="127"/>
      <c r="C9" s="127"/>
      <c r="D9" s="28">
        <v>1526.44</v>
      </c>
      <c r="E9" s="28">
        <v>1908.05</v>
      </c>
      <c r="F9" s="28">
        <v>2098.855</v>
      </c>
      <c r="G9" s="28">
        <v>2098.855</v>
      </c>
      <c r="H9" s="28">
        <v>2194.2575</v>
      </c>
      <c r="I9" s="28">
        <v>2194.2575</v>
      </c>
      <c r="J9" s="3"/>
      <c r="K9" s="14"/>
      <c r="Z9" s="144">
        <f>D5</f>
        <v>2.5</v>
      </c>
      <c r="AA9" s="144">
        <f>D26</f>
        <v>11585.18914726828</v>
      </c>
      <c r="AB9" s="144">
        <f>D28</f>
        <v>7305.268576559281</v>
      </c>
    </row>
    <row r="10" spans="1:28" ht="14.25">
      <c r="A10" s="123" t="s">
        <v>30</v>
      </c>
      <c r="B10" s="128"/>
      <c r="C10" s="128"/>
      <c r="D10" s="29">
        <v>1538.0149999999999</v>
      </c>
      <c r="E10" s="29">
        <v>1806.1899999999998</v>
      </c>
      <c r="F10" s="29">
        <v>2074.365</v>
      </c>
      <c r="G10" s="29">
        <v>2342.54</v>
      </c>
      <c r="H10" s="29">
        <v>2846.2899999999995</v>
      </c>
      <c r="I10" s="29">
        <v>3350.04</v>
      </c>
      <c r="J10" s="3"/>
      <c r="K10" s="14"/>
      <c r="Z10" s="144">
        <f>E5</f>
        <v>3</v>
      </c>
      <c r="AA10" s="144">
        <f>E26</f>
        <v>12674.090235463173</v>
      </c>
      <c r="AB10" s="144">
        <f>E28</f>
        <v>7305.268576559281</v>
      </c>
    </row>
    <row r="11" spans="1:28" ht="14.25">
      <c r="A11" s="123" t="s">
        <v>31</v>
      </c>
      <c r="B11" s="128"/>
      <c r="C11" s="128"/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"/>
      <c r="K11" s="14"/>
      <c r="Z11" s="144">
        <f>F5</f>
        <v>3.5</v>
      </c>
      <c r="AA11" s="144">
        <f>F26</f>
        <v>13333.054704371325</v>
      </c>
      <c r="AB11" s="144">
        <f>F28</f>
        <v>7305.268576559281</v>
      </c>
    </row>
    <row r="12" spans="1:28" ht="14.25">
      <c r="A12" s="123" t="s">
        <v>32</v>
      </c>
      <c r="B12" s="128"/>
      <c r="C12" s="128"/>
      <c r="D12" s="29">
        <v>745.2433131987528</v>
      </c>
      <c r="E12" s="29">
        <v>760.3585584539718</v>
      </c>
      <c r="F12" s="29">
        <v>775.4738037091907</v>
      </c>
      <c r="G12" s="29">
        <v>790.5890489644098</v>
      </c>
      <c r="H12" s="29">
        <v>815.1156733408029</v>
      </c>
      <c r="I12" s="29">
        <v>839.6422977171959</v>
      </c>
      <c r="J12" s="3"/>
      <c r="K12" s="14"/>
      <c r="Z12" s="144">
        <f>G5</f>
        <v>4</v>
      </c>
      <c r="AA12" s="144">
        <f>G26</f>
        <v>13777.699090153557</v>
      </c>
      <c r="AB12" s="144">
        <f>G28</f>
        <v>7305.268576559281</v>
      </c>
    </row>
    <row r="13" spans="1:28" ht="14.25">
      <c r="A13" s="123" t="s">
        <v>33</v>
      </c>
      <c r="B13" s="128"/>
      <c r="C13" s="128"/>
      <c r="D13" s="29">
        <v>603.325</v>
      </c>
      <c r="E13" s="29">
        <v>606.39</v>
      </c>
      <c r="F13" s="29">
        <v>609.4549999999999</v>
      </c>
      <c r="G13" s="29">
        <v>612.52</v>
      </c>
      <c r="H13" s="29">
        <v>618.65</v>
      </c>
      <c r="I13" s="29">
        <v>624.78</v>
      </c>
      <c r="J13" s="3"/>
      <c r="K13" s="14"/>
      <c r="Z13" s="144">
        <f>H5</f>
        <v>5</v>
      </c>
      <c r="AA13" s="144">
        <f>H26</f>
        <v>14568.572405136054</v>
      </c>
      <c r="AB13" s="144">
        <f>H28</f>
        <v>7305.268576559281</v>
      </c>
    </row>
    <row r="14" spans="1:28" ht="14.25">
      <c r="A14" s="123" t="s">
        <v>34</v>
      </c>
      <c r="B14" s="128"/>
      <c r="C14" s="128"/>
      <c r="D14" s="29">
        <v>382.40514400000006</v>
      </c>
      <c r="E14" s="29">
        <v>382.40514400000006</v>
      </c>
      <c r="F14" s="29">
        <v>382.40514400000006</v>
      </c>
      <c r="G14" s="29">
        <v>382.40514400000006</v>
      </c>
      <c r="H14" s="29">
        <v>382.40514400000006</v>
      </c>
      <c r="I14" s="29">
        <v>382.40514400000006</v>
      </c>
      <c r="J14" s="3"/>
      <c r="K14" s="14"/>
      <c r="Z14" s="144">
        <f>I5</f>
        <v>6</v>
      </c>
      <c r="AA14" s="144">
        <f>I26</f>
        <v>15577.387695270565</v>
      </c>
      <c r="AB14" s="144">
        <f>I28</f>
        <v>7305.268576559281</v>
      </c>
    </row>
    <row r="15" spans="1:11" ht="12.75">
      <c r="A15" s="123" t="s">
        <v>35</v>
      </c>
      <c r="B15" s="128"/>
      <c r="C15" s="128"/>
      <c r="D15" s="29">
        <v>274.00208000000003</v>
      </c>
      <c r="E15" s="29">
        <v>274.00208000000003</v>
      </c>
      <c r="F15" s="29">
        <v>274.00208000000003</v>
      </c>
      <c r="G15" s="29">
        <v>274.00208000000003</v>
      </c>
      <c r="H15" s="29">
        <v>129.28608000000003</v>
      </c>
      <c r="I15" s="29">
        <v>274.00208000000003</v>
      </c>
      <c r="J15" s="3"/>
      <c r="K15" s="14"/>
    </row>
    <row r="16" spans="1:11" ht="12.75">
      <c r="A16" s="123" t="s">
        <v>36</v>
      </c>
      <c r="B16" s="128"/>
      <c r="C16" s="128"/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"/>
      <c r="K16" s="14"/>
    </row>
    <row r="17" spans="1:11" ht="12.75">
      <c r="A17" s="114" t="s">
        <v>37</v>
      </c>
      <c r="B17" s="117"/>
      <c r="C17" s="117"/>
      <c r="D17" s="29">
        <v>4497.122948608001</v>
      </c>
      <c r="E17" s="29">
        <v>4689.082155520001</v>
      </c>
      <c r="F17" s="29">
        <v>4689.082155520001</v>
      </c>
      <c r="G17" s="29">
        <v>4689.082155520001</v>
      </c>
      <c r="H17" s="29">
        <v>4689.082155520001</v>
      </c>
      <c r="I17" s="29">
        <v>4689.082155520001</v>
      </c>
      <c r="J17" s="3"/>
      <c r="K17" s="14"/>
    </row>
    <row r="18" spans="1:11" ht="12.75">
      <c r="A18" s="123" t="s">
        <v>38</v>
      </c>
      <c r="B18" s="128"/>
      <c r="C18" s="128"/>
      <c r="D18" s="29">
        <v>693.2371172985006</v>
      </c>
      <c r="E18" s="29">
        <v>758.3950220860472</v>
      </c>
      <c r="F18" s="29">
        <v>797.826284106982</v>
      </c>
      <c r="G18" s="29">
        <v>824.433013466711</v>
      </c>
      <c r="H18" s="29">
        <v>871.7574662708374</v>
      </c>
      <c r="I18" s="29">
        <v>932.1231793144093</v>
      </c>
      <c r="J18" s="3"/>
      <c r="K18" s="14"/>
    </row>
    <row r="19" spans="1:11" ht="12.75">
      <c r="A19" s="123" t="s">
        <v>39</v>
      </c>
      <c r="B19" s="128"/>
      <c r="C19" s="128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"/>
      <c r="K19" s="14"/>
    </row>
    <row r="20" spans="1:11" ht="12.75">
      <c r="A20" s="123" t="s">
        <v>40</v>
      </c>
      <c r="B20" s="128"/>
      <c r="C20" s="128"/>
      <c r="D20" s="29">
        <v>547.515</v>
      </c>
      <c r="E20" s="29">
        <v>657.018</v>
      </c>
      <c r="F20" s="29">
        <v>766.521</v>
      </c>
      <c r="G20" s="29">
        <v>876.024</v>
      </c>
      <c r="H20" s="29">
        <v>1095.03</v>
      </c>
      <c r="I20" s="29">
        <v>1314.036</v>
      </c>
      <c r="J20" s="3"/>
      <c r="K20" s="14"/>
    </row>
    <row r="21" spans="1:11" ht="12.75">
      <c r="A21" s="123" t="s">
        <v>41</v>
      </c>
      <c r="B21" s="128"/>
      <c r="C21" s="128"/>
      <c r="D21" s="29">
        <v>200</v>
      </c>
      <c r="E21" s="29">
        <v>200</v>
      </c>
      <c r="F21" s="29">
        <v>200</v>
      </c>
      <c r="G21" s="29">
        <v>200</v>
      </c>
      <c r="H21" s="29">
        <v>200</v>
      </c>
      <c r="I21" s="29">
        <v>200</v>
      </c>
      <c r="J21" s="3"/>
      <c r="K21" s="14"/>
    </row>
    <row r="22" spans="1:11" s="13" customFormat="1" ht="12.75">
      <c r="A22" s="123" t="s">
        <v>42</v>
      </c>
      <c r="B22" s="128"/>
      <c r="C22" s="128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"/>
      <c r="K22" s="12"/>
    </row>
    <row r="23" spans="1:11" s="13" customFormat="1" ht="12.75">
      <c r="A23" s="123" t="s">
        <v>43</v>
      </c>
      <c r="B23" s="128"/>
      <c r="C23" s="128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"/>
      <c r="K23" s="12"/>
    </row>
    <row r="24" spans="1:11" s="13" customFormat="1" ht="12.75">
      <c r="A24" s="123" t="s">
        <v>44</v>
      </c>
      <c r="B24" s="128"/>
      <c r="C24" s="128"/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3"/>
      <c r="K24" s="12"/>
    </row>
    <row r="25" spans="1:11" s="13" customFormat="1" ht="13.5" thickBot="1">
      <c r="A25" s="123" t="s">
        <v>45</v>
      </c>
      <c r="B25" s="128"/>
      <c r="C25" s="128"/>
      <c r="D25" s="29">
        <v>577.8835441630258</v>
      </c>
      <c r="E25" s="29">
        <v>632.199275403151</v>
      </c>
      <c r="F25" s="29">
        <v>665.0692370351491</v>
      </c>
      <c r="G25" s="29">
        <v>687.2486482024339</v>
      </c>
      <c r="H25" s="29">
        <v>726.6983860044111</v>
      </c>
      <c r="I25" s="29">
        <v>777.0193387189594</v>
      </c>
      <c r="J25" s="3"/>
      <c r="K25" s="12"/>
    </row>
    <row r="26" spans="1:11" s="13" customFormat="1" ht="24.75" customHeight="1" thickBot="1">
      <c r="A26" s="171" t="s">
        <v>46</v>
      </c>
      <c r="B26" s="172"/>
      <c r="C26" s="173"/>
      <c r="D26" s="30">
        <f aca="true" t="shared" si="1" ref="D26:I26">SUM(D9:D25)</f>
        <v>11585.18914726828</v>
      </c>
      <c r="E26" s="30">
        <f t="shared" si="1"/>
        <v>12674.090235463173</v>
      </c>
      <c r="F26" s="30">
        <f t="shared" si="1"/>
        <v>13333.054704371325</v>
      </c>
      <c r="G26" s="30">
        <f t="shared" si="1"/>
        <v>13777.699090153557</v>
      </c>
      <c r="H26" s="30">
        <f t="shared" si="1"/>
        <v>14568.572405136054</v>
      </c>
      <c r="I26" s="30">
        <f t="shared" si="1"/>
        <v>15577.387695270565</v>
      </c>
      <c r="J26" s="3"/>
      <c r="K26" s="12"/>
    </row>
    <row r="27" spans="1:11" s="13" customFormat="1" ht="13.5" thickBot="1">
      <c r="A27" s="129"/>
      <c r="B27" s="130"/>
      <c r="C27" s="130"/>
      <c r="D27" s="31"/>
      <c r="E27" s="31"/>
      <c r="F27" s="31"/>
      <c r="G27" s="31"/>
      <c r="H27" s="31"/>
      <c r="I27" s="31"/>
      <c r="J27" s="3"/>
      <c r="K27" s="12"/>
    </row>
    <row r="28" spans="1:11" ht="13.5" thickBot="1">
      <c r="A28" s="168" t="s">
        <v>47</v>
      </c>
      <c r="B28" s="169"/>
      <c r="C28" s="170"/>
      <c r="D28" s="30">
        <v>7305.268576559281</v>
      </c>
      <c r="E28" s="30">
        <v>7305.268576559281</v>
      </c>
      <c r="F28" s="30">
        <v>7305.268576559281</v>
      </c>
      <c r="G28" s="30">
        <v>7305.268576559281</v>
      </c>
      <c r="H28" s="30">
        <v>7305.268576559281</v>
      </c>
      <c r="I28" s="30">
        <v>7305.268576559281</v>
      </c>
      <c r="J28" s="27"/>
      <c r="K28" s="3"/>
    </row>
    <row r="29" spans="1:11" ht="13.5" thickBot="1">
      <c r="A29" s="129"/>
      <c r="B29" s="130"/>
      <c r="C29" s="130"/>
      <c r="D29" s="31"/>
      <c r="E29" s="31"/>
      <c r="F29" s="31"/>
      <c r="G29" s="31"/>
      <c r="H29" s="31"/>
      <c r="I29" s="31"/>
      <c r="J29" s="3"/>
      <c r="K29" s="14"/>
    </row>
    <row r="30" spans="1:11" ht="24.75" customHeight="1" thickBot="1">
      <c r="A30" s="171" t="s">
        <v>48</v>
      </c>
      <c r="B30" s="172"/>
      <c r="C30" s="173"/>
      <c r="D30" s="30">
        <f aca="true" t="shared" si="2" ref="D30:I30">D26+D28</f>
        <v>18890.45772382756</v>
      </c>
      <c r="E30" s="30">
        <f t="shared" si="2"/>
        <v>19979.358812022452</v>
      </c>
      <c r="F30" s="30">
        <f t="shared" si="2"/>
        <v>20638.323280930606</v>
      </c>
      <c r="G30" s="30">
        <f t="shared" si="2"/>
        <v>21082.967666712837</v>
      </c>
      <c r="H30" s="30">
        <f t="shared" si="2"/>
        <v>21873.840981695335</v>
      </c>
      <c r="I30" s="30">
        <f t="shared" si="2"/>
        <v>22882.656271829845</v>
      </c>
      <c r="J30" s="3"/>
      <c r="K30" s="14"/>
    </row>
    <row r="31" spans="1:11" ht="13.5" thickBot="1">
      <c r="A31" s="124"/>
      <c r="B31" s="125"/>
      <c r="C31" s="125"/>
      <c r="D31" s="33"/>
      <c r="E31" s="33"/>
      <c r="F31" s="33"/>
      <c r="G31" s="33"/>
      <c r="H31" s="33"/>
      <c r="I31" s="33"/>
      <c r="J31" s="3"/>
      <c r="K31" s="14"/>
    </row>
    <row r="32" spans="1:11" ht="24.75" customHeight="1" thickBot="1">
      <c r="A32" s="171" t="s">
        <v>49</v>
      </c>
      <c r="B32" s="174"/>
      <c r="C32" s="175"/>
      <c r="D32" s="30">
        <f aca="true" t="shared" si="3" ref="D32:I32">D30/D5</f>
        <v>7556.183089531024</v>
      </c>
      <c r="E32" s="30">
        <f t="shared" si="3"/>
        <v>6659.786270674151</v>
      </c>
      <c r="F32" s="30">
        <f t="shared" si="3"/>
        <v>5896.663794551602</v>
      </c>
      <c r="G32" s="30">
        <f t="shared" si="3"/>
        <v>5270.741916678209</v>
      </c>
      <c r="H32" s="30">
        <f t="shared" si="3"/>
        <v>4374.768196339067</v>
      </c>
      <c r="I32" s="30">
        <f t="shared" si="3"/>
        <v>3813.776045304974</v>
      </c>
      <c r="J32" s="3"/>
      <c r="K32" s="14"/>
    </row>
    <row r="33" spans="1:11" ht="13.5" thickBot="1">
      <c r="A33" s="115"/>
      <c r="B33" s="116"/>
      <c r="C33" s="116"/>
      <c r="D33" s="33"/>
      <c r="E33" s="33"/>
      <c r="F33" s="33"/>
      <c r="G33" s="33"/>
      <c r="H33" s="33"/>
      <c r="I33" s="33"/>
      <c r="J33" s="3"/>
      <c r="K33" s="14"/>
    </row>
    <row r="34" spans="1:11" ht="13.5" thickBot="1">
      <c r="A34" s="118" t="s">
        <v>50</v>
      </c>
      <c r="B34" s="119"/>
      <c r="C34" s="119"/>
      <c r="D34" s="30">
        <f>'Pryse + Sensatiwiteitsanalise'!D6</f>
        <v>59</v>
      </c>
      <c r="E34" s="30">
        <f>$D$34</f>
        <v>59</v>
      </c>
      <c r="F34" s="30">
        <f>$D$34</f>
        <v>59</v>
      </c>
      <c r="G34" s="30">
        <f>$D$34</f>
        <v>59</v>
      </c>
      <c r="H34" s="30">
        <f>$D$34</f>
        <v>59</v>
      </c>
      <c r="I34" s="30">
        <f>$D$34</f>
        <v>59</v>
      </c>
      <c r="J34" s="3"/>
      <c r="K34" s="3"/>
    </row>
    <row r="35" spans="1:11" ht="13.5" thickBot="1">
      <c r="A35" s="115"/>
      <c r="B35" s="116"/>
      <c r="C35" s="116"/>
      <c r="D35" s="33"/>
      <c r="E35" s="33"/>
      <c r="F35" s="33"/>
      <c r="G35" s="33"/>
      <c r="H35" s="33"/>
      <c r="I35" s="33"/>
      <c r="J35" s="3"/>
      <c r="K35" s="3"/>
    </row>
    <row r="36" spans="1:10" ht="12" customHeight="1" thickBot="1">
      <c r="A36" s="190" t="s">
        <v>51</v>
      </c>
      <c r="B36" s="191"/>
      <c r="C36" s="192"/>
      <c r="D36" s="32">
        <f aca="true" t="shared" si="4" ref="D36:I36">D32+D34</f>
        <v>7615.183089531024</v>
      </c>
      <c r="E36" s="32">
        <f t="shared" si="4"/>
        <v>6718.786270674151</v>
      </c>
      <c r="F36" s="32">
        <f t="shared" si="4"/>
        <v>5955.663794551602</v>
      </c>
      <c r="G36" s="32">
        <f t="shared" si="4"/>
        <v>5329.741916678209</v>
      </c>
      <c r="H36" s="32">
        <f t="shared" si="4"/>
        <v>4433.768196339067</v>
      </c>
      <c r="I36" s="32">
        <f t="shared" si="4"/>
        <v>3872.776045304974</v>
      </c>
      <c r="J36" s="3"/>
    </row>
    <row r="37" spans="1:10" ht="13.5" thickBot="1">
      <c r="A37" s="112" t="s">
        <v>52</v>
      </c>
      <c r="B37" s="5"/>
      <c r="C37" s="6"/>
      <c r="D37" s="32">
        <f>'Pryse + Sensatiwiteitsanalise'!B6</f>
        <v>4820</v>
      </c>
      <c r="E37" s="32">
        <f>$D$37</f>
        <v>4820</v>
      </c>
      <c r="F37" s="32">
        <f>$D$37</f>
        <v>4820</v>
      </c>
      <c r="G37" s="32">
        <f>$D$37</f>
        <v>4820</v>
      </c>
      <c r="H37" s="32">
        <f>$D$37</f>
        <v>4820</v>
      </c>
      <c r="I37" s="32">
        <f>$D$37</f>
        <v>4820</v>
      </c>
      <c r="J37" s="14"/>
    </row>
    <row r="38" spans="1:10" ht="14.25">
      <c r="A38" s="131" t="s">
        <v>56</v>
      </c>
      <c r="B38" s="132"/>
      <c r="C38" s="132"/>
      <c r="D38" s="132"/>
      <c r="E38" s="132"/>
      <c r="F38" s="132"/>
      <c r="G38" s="132"/>
      <c r="H38" s="133"/>
      <c r="I38" s="39"/>
      <c r="J38" s="39"/>
    </row>
    <row r="39" spans="1:10" ht="14.25">
      <c r="A39" s="134" t="s">
        <v>57</v>
      </c>
      <c r="B39" s="135"/>
      <c r="C39" s="135"/>
      <c r="D39" s="135"/>
      <c r="E39" s="135"/>
      <c r="F39" s="135"/>
      <c r="G39" s="135"/>
      <c r="H39" s="136"/>
      <c r="I39" s="39"/>
      <c r="J39" s="39"/>
    </row>
    <row r="40" spans="1:10" ht="15" thickBot="1">
      <c r="A40" s="137" t="s">
        <v>58</v>
      </c>
      <c r="B40" s="138"/>
      <c r="C40" s="138"/>
      <c r="D40" s="138"/>
      <c r="E40" s="138"/>
      <c r="F40" s="138"/>
      <c r="G40" s="138"/>
      <c r="H40" s="139"/>
      <c r="I40" s="39"/>
      <c r="J40" s="39"/>
    </row>
  </sheetData>
  <sheetProtection/>
  <mergeCells count="10">
    <mergeCell ref="Z7:AB7"/>
    <mergeCell ref="A1:D1"/>
    <mergeCell ref="E1:G1"/>
    <mergeCell ref="A36:C36"/>
    <mergeCell ref="A3:C3"/>
    <mergeCell ref="A8:C8"/>
    <mergeCell ref="A26:C26"/>
    <mergeCell ref="A28:C28"/>
    <mergeCell ref="A30:C30"/>
    <mergeCell ref="A32:C32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scale="64" r:id="rId2"/>
  <headerFooter>
    <oddHeader>&amp;C&amp;F</oddHead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1" customWidth="1"/>
    <col min="2" max="2" width="15.7109375" style="1" bestFit="1" customWidth="1"/>
    <col min="3" max="4" width="14.421875" style="1" customWidth="1"/>
    <col min="5" max="9" width="14.28125" style="1" customWidth="1"/>
    <col min="10" max="10" width="14.421875" style="1" customWidth="1"/>
    <col min="11" max="26" width="12.7109375" style="1" hidden="1" customWidth="1"/>
    <col min="27" max="27" width="15.7109375" style="1" hidden="1" customWidth="1"/>
    <col min="28" max="28" width="14.140625" style="1" hidden="1" customWidth="1"/>
    <col min="29" max="16384" width="9.140625" style="1" customWidth="1"/>
  </cols>
  <sheetData>
    <row r="1" spans="1:11" ht="32.25" customHeight="1" thickBot="1">
      <c r="A1" s="186" t="s">
        <v>54</v>
      </c>
      <c r="B1" s="187"/>
      <c r="C1" s="187"/>
      <c r="D1" s="187"/>
      <c r="E1" s="188" t="s">
        <v>82</v>
      </c>
      <c r="F1" s="189"/>
      <c r="G1" s="189"/>
      <c r="H1" s="2"/>
      <c r="I1" s="15"/>
      <c r="J1" s="14"/>
      <c r="K1" s="14"/>
    </row>
    <row r="2" spans="1:11" ht="15.75" thickBot="1">
      <c r="A2" s="16"/>
      <c r="B2" s="17"/>
      <c r="C2" s="18"/>
      <c r="D2" s="18"/>
      <c r="E2" s="11"/>
      <c r="F2" s="11"/>
      <c r="G2" s="11"/>
      <c r="H2" s="11"/>
      <c r="I2" s="4"/>
      <c r="J2" s="3"/>
      <c r="K2" s="14"/>
    </row>
    <row r="3" spans="1:11" ht="25.5" customHeight="1" thickBot="1">
      <c r="A3" s="190" t="s">
        <v>25</v>
      </c>
      <c r="B3" s="191"/>
      <c r="C3" s="191"/>
      <c r="D3" s="19"/>
      <c r="E3" s="34">
        <f>'Pryse + Sensatiwiteitsanalise'!B59</f>
        <v>2437</v>
      </c>
      <c r="F3" s="5" t="s">
        <v>0</v>
      </c>
      <c r="G3" s="5"/>
      <c r="H3" s="20"/>
      <c r="I3" s="6"/>
      <c r="K3" s="14"/>
    </row>
    <row r="4" spans="1:11" ht="13.5" thickBot="1">
      <c r="A4" s="113"/>
      <c r="B4" s="8"/>
      <c r="C4" s="8"/>
      <c r="D4" s="7"/>
      <c r="E4" s="10"/>
      <c r="F4" s="21"/>
      <c r="G4" s="8"/>
      <c r="H4" s="22"/>
      <c r="I4" s="22"/>
      <c r="J4" s="3"/>
      <c r="K4" s="14"/>
    </row>
    <row r="5" spans="1:11" ht="13.5" thickBot="1">
      <c r="A5" s="121" t="s">
        <v>26</v>
      </c>
      <c r="B5" s="8"/>
      <c r="C5" s="8"/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4">
        <v>10</v>
      </c>
      <c r="J5" s="3"/>
      <c r="K5" s="14"/>
    </row>
    <row r="6" spans="1:11" ht="13.5" thickBot="1">
      <c r="A6" s="122" t="s">
        <v>27</v>
      </c>
      <c r="B6" s="119"/>
      <c r="C6" s="120"/>
      <c r="D6" s="9">
        <f aca="true" t="shared" si="0" ref="D6:I6">$E$3*D5</f>
        <v>12185</v>
      </c>
      <c r="E6" s="9">
        <f t="shared" si="0"/>
        <v>14622</v>
      </c>
      <c r="F6" s="9">
        <f t="shared" si="0"/>
        <v>17059</v>
      </c>
      <c r="G6" s="9">
        <f t="shared" si="0"/>
        <v>19496</v>
      </c>
      <c r="H6" s="9">
        <f t="shared" si="0"/>
        <v>21933</v>
      </c>
      <c r="I6" s="9">
        <f t="shared" si="0"/>
        <v>24370</v>
      </c>
      <c r="J6" s="3"/>
      <c r="K6" s="14"/>
    </row>
    <row r="7" spans="1:28" ht="15" thickBot="1">
      <c r="A7" s="115"/>
      <c r="B7" s="116"/>
      <c r="C7" s="116"/>
      <c r="D7" s="25"/>
      <c r="E7" s="25"/>
      <c r="F7" s="25"/>
      <c r="G7" s="25"/>
      <c r="H7" s="25"/>
      <c r="I7" s="25"/>
      <c r="J7" s="3"/>
      <c r="K7" s="14"/>
      <c r="Z7" s="176" t="s">
        <v>74</v>
      </c>
      <c r="AA7" s="176"/>
      <c r="AB7" s="176"/>
    </row>
    <row r="8" spans="1:28" ht="15" thickBot="1">
      <c r="A8" s="193" t="s">
        <v>28</v>
      </c>
      <c r="B8" s="194"/>
      <c r="C8" s="195"/>
      <c r="D8" s="26"/>
      <c r="E8" s="26"/>
      <c r="F8" s="26"/>
      <c r="G8" s="26"/>
      <c r="H8" s="26"/>
      <c r="I8" s="26"/>
      <c r="J8" s="3"/>
      <c r="K8" s="14"/>
      <c r="Z8" s="143" t="s">
        <v>68</v>
      </c>
      <c r="AA8" s="143" t="s">
        <v>69</v>
      </c>
      <c r="AB8" s="143" t="s">
        <v>70</v>
      </c>
    </row>
    <row r="9" spans="1:28" ht="14.25">
      <c r="A9" s="126" t="s">
        <v>29</v>
      </c>
      <c r="B9" s="127"/>
      <c r="C9" s="127"/>
      <c r="D9" s="28">
        <v>617.6</v>
      </c>
      <c r="E9" s="28">
        <v>617.6</v>
      </c>
      <c r="F9" s="28">
        <v>617.6</v>
      </c>
      <c r="G9" s="28">
        <v>617.6</v>
      </c>
      <c r="H9" s="28">
        <v>617.6</v>
      </c>
      <c r="I9" s="28">
        <v>617.6</v>
      </c>
      <c r="J9" s="3"/>
      <c r="K9" s="14"/>
      <c r="Z9" s="144">
        <f>D5</f>
        <v>5</v>
      </c>
      <c r="AA9" s="144">
        <f>D26</f>
        <v>10002.071905034805</v>
      </c>
      <c r="AB9" s="144">
        <f>D28</f>
        <v>7305.268576559281</v>
      </c>
    </row>
    <row r="10" spans="1:28" ht="14.25">
      <c r="A10" s="123" t="s">
        <v>30</v>
      </c>
      <c r="B10" s="128"/>
      <c r="C10" s="128"/>
      <c r="D10" s="29">
        <v>3140.75</v>
      </c>
      <c r="E10" s="29">
        <v>3648.9</v>
      </c>
      <c r="F10" s="29">
        <v>4157.049999999999</v>
      </c>
      <c r="G10" s="29">
        <v>4665.2</v>
      </c>
      <c r="H10" s="29">
        <v>5173.349999999999</v>
      </c>
      <c r="I10" s="29">
        <v>5681.5</v>
      </c>
      <c r="J10" s="3"/>
      <c r="K10" s="14"/>
      <c r="Z10" s="144">
        <f>E5</f>
        <v>6</v>
      </c>
      <c r="AA10" s="144">
        <f>E26</f>
        <v>11333.593602100913</v>
      </c>
      <c r="AB10" s="144">
        <f>E28</f>
        <v>7305.268576559281</v>
      </c>
    </row>
    <row r="11" spans="1:28" ht="14.25">
      <c r="A11" s="123" t="s">
        <v>31</v>
      </c>
      <c r="B11" s="128"/>
      <c r="C11" s="128"/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"/>
      <c r="K11" s="14"/>
      <c r="Z11" s="144">
        <f>F5</f>
        <v>7</v>
      </c>
      <c r="AA11" s="144">
        <f>F26</f>
        <v>12697.375186408726</v>
      </c>
      <c r="AB11" s="144">
        <f>F28</f>
        <v>7305.268576559281</v>
      </c>
    </row>
    <row r="12" spans="1:28" ht="14.25">
      <c r="A12" s="123" t="s">
        <v>32</v>
      </c>
      <c r="B12" s="128"/>
      <c r="C12" s="128"/>
      <c r="D12" s="29">
        <v>774.7236195432326</v>
      </c>
      <c r="E12" s="29">
        <v>799.2502439196256</v>
      </c>
      <c r="F12" s="29">
        <v>823.7768682960187</v>
      </c>
      <c r="G12" s="29">
        <v>848.3034926724118</v>
      </c>
      <c r="H12" s="29">
        <v>872.8301170488048</v>
      </c>
      <c r="I12" s="29">
        <v>897.3567414251979</v>
      </c>
      <c r="J12" s="3"/>
      <c r="K12" s="14"/>
      <c r="Z12" s="144">
        <f>G5</f>
        <v>8</v>
      </c>
      <c r="AA12" s="144">
        <f>G26</f>
        <v>13949.775237193027</v>
      </c>
      <c r="AB12" s="144">
        <f>G28</f>
        <v>7305.268576559281</v>
      </c>
    </row>
    <row r="13" spans="1:28" ht="14.25">
      <c r="A13" s="123" t="s">
        <v>33</v>
      </c>
      <c r="B13" s="128"/>
      <c r="C13" s="128"/>
      <c r="D13" s="29">
        <v>559.65</v>
      </c>
      <c r="E13" s="29">
        <v>565.78</v>
      </c>
      <c r="F13" s="29">
        <v>571.91</v>
      </c>
      <c r="G13" s="29">
        <v>578.04</v>
      </c>
      <c r="H13" s="29">
        <v>584.1700000000001</v>
      </c>
      <c r="I13" s="29">
        <v>590.3</v>
      </c>
      <c r="J13" s="3"/>
      <c r="K13" s="14"/>
      <c r="Z13" s="144">
        <f>H5</f>
        <v>9</v>
      </c>
      <c r="AA13" s="144">
        <f>H26</f>
        <v>15202.175287977327</v>
      </c>
      <c r="AB13" s="144">
        <f>H28</f>
        <v>7305.268576559281</v>
      </c>
    </row>
    <row r="14" spans="1:28" s="13" customFormat="1" ht="14.25">
      <c r="A14" s="123" t="s">
        <v>34</v>
      </c>
      <c r="B14" s="128"/>
      <c r="C14" s="128"/>
      <c r="D14" s="29">
        <v>768.7085835000001</v>
      </c>
      <c r="E14" s="29">
        <v>740.9096200000001</v>
      </c>
      <c r="F14" s="29">
        <v>740.9096200000001</v>
      </c>
      <c r="G14" s="29">
        <v>740.9096200000001</v>
      </c>
      <c r="H14" s="29">
        <v>740.9096200000001</v>
      </c>
      <c r="I14" s="29">
        <v>740.9096200000001</v>
      </c>
      <c r="J14" s="3"/>
      <c r="K14" s="14"/>
      <c r="L14" s="1"/>
      <c r="M14" s="1"/>
      <c r="N14" s="1"/>
      <c r="O14" s="1"/>
      <c r="P14" s="1"/>
      <c r="Q14" s="1"/>
      <c r="Z14" s="144">
        <f>I5</f>
        <v>10</v>
      </c>
      <c r="AA14" s="144">
        <f>I26</f>
        <v>16454.57533876163</v>
      </c>
      <c r="AB14" s="144">
        <f>I28</f>
        <v>7305.268576559281</v>
      </c>
    </row>
    <row r="15" spans="1:17" s="13" customFormat="1" ht="12.75">
      <c r="A15" s="123" t="s">
        <v>35</v>
      </c>
      <c r="B15" s="128"/>
      <c r="C15" s="128"/>
      <c r="D15" s="29">
        <v>157.34961</v>
      </c>
      <c r="E15" s="29">
        <v>157.34961</v>
      </c>
      <c r="F15" s="29">
        <v>157.34961</v>
      </c>
      <c r="G15" s="29">
        <v>157.34961</v>
      </c>
      <c r="H15" s="29">
        <v>157.34961</v>
      </c>
      <c r="I15" s="29">
        <v>157.34961</v>
      </c>
      <c r="J15" s="3"/>
      <c r="K15" s="14"/>
      <c r="L15" s="1"/>
      <c r="M15" s="1"/>
      <c r="N15" s="1"/>
      <c r="O15" s="1"/>
      <c r="P15" s="1"/>
      <c r="Q15" s="1"/>
    </row>
    <row r="16" spans="1:17" s="13" customFormat="1" ht="12.75">
      <c r="A16" s="123" t="s">
        <v>36</v>
      </c>
      <c r="B16" s="128"/>
      <c r="C16" s="128"/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"/>
      <c r="K16" s="14"/>
      <c r="L16" s="1"/>
      <c r="M16" s="1"/>
      <c r="N16" s="1"/>
      <c r="O16" s="1"/>
      <c r="P16" s="1"/>
      <c r="Q16" s="1"/>
    </row>
    <row r="17" spans="1:17" s="13" customFormat="1" ht="12.75">
      <c r="A17" s="114" t="s">
        <v>37</v>
      </c>
      <c r="B17" s="117"/>
      <c r="C17" s="117"/>
      <c r="D17" s="29">
        <v>2097.6328622080005</v>
      </c>
      <c r="E17" s="29">
        <v>2673.5104829440006</v>
      </c>
      <c r="F17" s="29">
        <v>3249.3881036800008</v>
      </c>
      <c r="G17" s="29">
        <v>3729.2861209600005</v>
      </c>
      <c r="H17" s="29">
        <v>4209.184138240001</v>
      </c>
      <c r="I17" s="29">
        <v>4689.082155520001</v>
      </c>
      <c r="J17" s="3"/>
      <c r="K17" s="14"/>
      <c r="L17" s="1"/>
      <c r="M17" s="1"/>
      <c r="N17" s="1"/>
      <c r="O17" s="1"/>
      <c r="P17" s="1"/>
      <c r="Q17" s="1"/>
    </row>
    <row r="18" spans="1:17" s="13" customFormat="1" ht="12.75">
      <c r="A18" s="123" t="s">
        <v>38</v>
      </c>
      <c r="B18" s="128"/>
      <c r="C18" s="128"/>
      <c r="D18" s="29">
        <v>884.1790290573692</v>
      </c>
      <c r="E18" s="29">
        <v>1001.8849976265518</v>
      </c>
      <c r="F18" s="29">
        <v>1122.442726915882</v>
      </c>
      <c r="G18" s="29">
        <v>1233.154374603243</v>
      </c>
      <c r="H18" s="29">
        <v>1343.8660222906035</v>
      </c>
      <c r="I18" s="29">
        <v>1454.5776699779647</v>
      </c>
      <c r="J18" s="3"/>
      <c r="K18" s="14"/>
      <c r="L18" s="1"/>
      <c r="M18" s="1"/>
      <c r="N18" s="1"/>
      <c r="O18" s="1"/>
      <c r="P18" s="1"/>
      <c r="Q18" s="1"/>
    </row>
    <row r="19" spans="1:17" s="13" customFormat="1" ht="12.75">
      <c r="A19" s="123" t="s">
        <v>39</v>
      </c>
      <c r="B19" s="128"/>
      <c r="C19" s="128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"/>
      <c r="K19" s="14"/>
      <c r="L19" s="1"/>
      <c r="M19" s="1"/>
      <c r="N19" s="1"/>
      <c r="O19" s="1"/>
      <c r="P19" s="1"/>
      <c r="Q19" s="1"/>
    </row>
    <row r="20" spans="1:17" s="13" customFormat="1" ht="12.75">
      <c r="A20" s="123" t="s">
        <v>40</v>
      </c>
      <c r="B20" s="128"/>
      <c r="C20" s="128"/>
      <c r="D20" s="29">
        <v>302.5625</v>
      </c>
      <c r="E20" s="29">
        <v>363.07500000000005</v>
      </c>
      <c r="F20" s="29">
        <v>423.58750000000003</v>
      </c>
      <c r="G20" s="29">
        <v>484.1</v>
      </c>
      <c r="H20" s="29">
        <v>544.6125000000001</v>
      </c>
      <c r="I20" s="29">
        <v>605.125</v>
      </c>
      <c r="J20" s="3"/>
      <c r="K20" s="14"/>
      <c r="L20" s="1"/>
      <c r="M20" s="1"/>
      <c r="N20" s="1"/>
      <c r="O20" s="1"/>
      <c r="P20" s="1"/>
      <c r="Q20" s="1"/>
    </row>
    <row r="21" spans="1:17" s="13" customFormat="1" ht="12.75">
      <c r="A21" s="123" t="s">
        <v>41</v>
      </c>
      <c r="B21" s="128"/>
      <c r="C21" s="128"/>
      <c r="D21" s="29">
        <v>200</v>
      </c>
      <c r="E21" s="29">
        <v>200</v>
      </c>
      <c r="F21" s="29">
        <v>200</v>
      </c>
      <c r="G21" s="29">
        <v>200</v>
      </c>
      <c r="H21" s="29">
        <v>200</v>
      </c>
      <c r="I21" s="29">
        <v>200</v>
      </c>
      <c r="J21" s="3"/>
      <c r="K21" s="14"/>
      <c r="L21" s="1"/>
      <c r="M21" s="1"/>
      <c r="N21" s="1"/>
      <c r="O21" s="1"/>
      <c r="P21" s="1"/>
      <c r="Q21" s="1"/>
    </row>
    <row r="22" spans="1:17" s="13" customFormat="1" ht="12.75">
      <c r="A22" s="123" t="s">
        <v>42</v>
      </c>
      <c r="B22" s="128"/>
      <c r="C22" s="128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"/>
      <c r="K22" s="14"/>
      <c r="L22" s="1"/>
      <c r="M22" s="1"/>
      <c r="N22" s="1"/>
      <c r="O22" s="1"/>
      <c r="P22" s="1"/>
      <c r="Q22" s="1"/>
    </row>
    <row r="23" spans="1:17" s="13" customFormat="1" ht="12.75">
      <c r="A23" s="123" t="s">
        <v>43</v>
      </c>
      <c r="B23" s="128"/>
      <c r="C23" s="128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"/>
      <c r="K23" s="14"/>
      <c r="L23" s="1"/>
      <c r="M23" s="1"/>
      <c r="N23" s="1"/>
      <c r="O23" s="1"/>
      <c r="P23" s="1"/>
      <c r="Q23" s="1"/>
    </row>
    <row r="24" spans="1:11" s="13" customFormat="1" ht="12.75">
      <c r="A24" s="123" t="s">
        <v>44</v>
      </c>
      <c r="B24" s="128"/>
      <c r="C24" s="128"/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3"/>
      <c r="K24" s="12"/>
    </row>
    <row r="25" spans="1:11" s="13" customFormat="1" ht="13.5" thickBot="1">
      <c r="A25" s="123" t="s">
        <v>45</v>
      </c>
      <c r="B25" s="128"/>
      <c r="C25" s="128"/>
      <c r="D25" s="29">
        <v>498.9157007262016</v>
      </c>
      <c r="E25" s="29">
        <v>565.3336476107344</v>
      </c>
      <c r="F25" s="29">
        <v>633.3607575168248</v>
      </c>
      <c r="G25" s="29">
        <v>695.8320189573719</v>
      </c>
      <c r="H25" s="29">
        <v>758.3032803979189</v>
      </c>
      <c r="I25" s="29">
        <v>820.774541838466</v>
      </c>
      <c r="J25" s="3"/>
      <c r="K25" s="12"/>
    </row>
    <row r="26" spans="1:11" s="13" customFormat="1" ht="24.75" customHeight="1" thickBot="1">
      <c r="A26" s="171" t="s">
        <v>46</v>
      </c>
      <c r="B26" s="172"/>
      <c r="C26" s="173"/>
      <c r="D26" s="30">
        <f aca="true" t="shared" si="1" ref="D26:I26">SUM(D9:D25)</f>
        <v>10002.071905034805</v>
      </c>
      <c r="E26" s="30">
        <f t="shared" si="1"/>
        <v>11333.593602100913</v>
      </c>
      <c r="F26" s="30">
        <f t="shared" si="1"/>
        <v>12697.375186408726</v>
      </c>
      <c r="G26" s="30">
        <f t="shared" si="1"/>
        <v>13949.775237193027</v>
      </c>
      <c r="H26" s="30">
        <f t="shared" si="1"/>
        <v>15202.175287977327</v>
      </c>
      <c r="I26" s="30">
        <f t="shared" si="1"/>
        <v>16454.57533876163</v>
      </c>
      <c r="J26" s="3"/>
      <c r="K26" s="12"/>
    </row>
    <row r="27" spans="1:11" s="13" customFormat="1" ht="13.5" thickBot="1">
      <c r="A27" s="129"/>
      <c r="B27" s="130"/>
      <c r="C27" s="130"/>
      <c r="D27" s="31"/>
      <c r="E27" s="31"/>
      <c r="F27" s="31"/>
      <c r="G27" s="31"/>
      <c r="H27" s="31"/>
      <c r="I27" s="31"/>
      <c r="J27" s="3"/>
      <c r="K27" s="12"/>
    </row>
    <row r="28" spans="1:11" ht="13.5" thickBot="1">
      <c r="A28" s="168" t="s">
        <v>47</v>
      </c>
      <c r="B28" s="169"/>
      <c r="C28" s="170"/>
      <c r="D28" s="30">
        <v>7305.268576559281</v>
      </c>
      <c r="E28" s="30">
        <v>7305.268576559281</v>
      </c>
      <c r="F28" s="30">
        <v>7305.268576559281</v>
      </c>
      <c r="G28" s="30">
        <v>7305.268576559281</v>
      </c>
      <c r="H28" s="30">
        <v>7305.268576559281</v>
      </c>
      <c r="I28" s="30">
        <v>7305.268576559281</v>
      </c>
      <c r="J28" s="27"/>
      <c r="K28" s="3"/>
    </row>
    <row r="29" spans="1:11" ht="13.5" thickBot="1">
      <c r="A29" s="129"/>
      <c r="B29" s="130"/>
      <c r="C29" s="130"/>
      <c r="D29" s="31"/>
      <c r="E29" s="31"/>
      <c r="F29" s="31"/>
      <c r="G29" s="31"/>
      <c r="H29" s="31"/>
      <c r="I29" s="31"/>
      <c r="J29" s="3"/>
      <c r="K29" s="14"/>
    </row>
    <row r="30" spans="1:11" ht="24.75" customHeight="1" thickBot="1">
      <c r="A30" s="171" t="s">
        <v>48</v>
      </c>
      <c r="B30" s="172"/>
      <c r="C30" s="173"/>
      <c r="D30" s="30">
        <f aca="true" t="shared" si="2" ref="D30:I30">D26+D28</f>
        <v>17307.34048159409</v>
      </c>
      <c r="E30" s="30">
        <f t="shared" si="2"/>
        <v>18638.862178660194</v>
      </c>
      <c r="F30" s="30">
        <f t="shared" si="2"/>
        <v>20002.643762968008</v>
      </c>
      <c r="G30" s="30">
        <f t="shared" si="2"/>
        <v>21255.04381375231</v>
      </c>
      <c r="H30" s="30">
        <f t="shared" si="2"/>
        <v>22507.44386453661</v>
      </c>
      <c r="I30" s="30">
        <f t="shared" si="2"/>
        <v>23759.84391532091</v>
      </c>
      <c r="J30" s="3"/>
      <c r="K30" s="14"/>
    </row>
    <row r="31" spans="1:11" ht="13.5" thickBot="1">
      <c r="A31" s="124"/>
      <c r="B31" s="125"/>
      <c r="C31" s="125"/>
      <c r="D31" s="33"/>
      <c r="E31" s="33"/>
      <c r="F31" s="33"/>
      <c r="G31" s="33"/>
      <c r="H31" s="33"/>
      <c r="I31" s="33"/>
      <c r="J31" s="3"/>
      <c r="K31" s="14"/>
    </row>
    <row r="32" spans="1:11" ht="24.75" customHeight="1" thickBot="1">
      <c r="A32" s="171" t="s">
        <v>49</v>
      </c>
      <c r="B32" s="174"/>
      <c r="C32" s="175"/>
      <c r="D32" s="30">
        <f aca="true" t="shared" si="3" ref="D32:I32">D30/D5</f>
        <v>3461.4680963188175</v>
      </c>
      <c r="E32" s="30">
        <f t="shared" si="3"/>
        <v>3106.477029776699</v>
      </c>
      <c r="F32" s="30">
        <f t="shared" si="3"/>
        <v>2857.5205375668584</v>
      </c>
      <c r="G32" s="30">
        <f t="shared" si="3"/>
        <v>2656.8804767190386</v>
      </c>
      <c r="H32" s="30">
        <f t="shared" si="3"/>
        <v>2500.8270960596233</v>
      </c>
      <c r="I32" s="30">
        <f t="shared" si="3"/>
        <v>2375.984391532091</v>
      </c>
      <c r="J32" s="3"/>
      <c r="K32" s="14"/>
    </row>
    <row r="33" spans="1:11" ht="13.5" thickBot="1">
      <c r="A33" s="115"/>
      <c r="B33" s="116"/>
      <c r="C33" s="116"/>
      <c r="D33" s="33"/>
      <c r="E33" s="33"/>
      <c r="F33" s="33"/>
      <c r="G33" s="33"/>
      <c r="H33" s="33"/>
      <c r="I33" s="33"/>
      <c r="J33" s="3"/>
      <c r="K33" s="14"/>
    </row>
    <row r="34" spans="1:11" ht="13.5" thickBot="1">
      <c r="A34" s="118" t="s">
        <v>50</v>
      </c>
      <c r="B34" s="119"/>
      <c r="C34" s="119"/>
      <c r="D34" s="30">
        <f>'Pryse + Sensatiwiteitsanalise'!D7</f>
        <v>63</v>
      </c>
      <c r="E34" s="30">
        <f>$D$34</f>
        <v>63</v>
      </c>
      <c r="F34" s="30">
        <f>$D$34</f>
        <v>63</v>
      </c>
      <c r="G34" s="30">
        <f>$D$34</f>
        <v>63</v>
      </c>
      <c r="H34" s="30">
        <f>$D$34</f>
        <v>63</v>
      </c>
      <c r="I34" s="30">
        <f>$D$34</f>
        <v>63</v>
      </c>
      <c r="J34" s="3"/>
      <c r="K34" s="3"/>
    </row>
    <row r="35" spans="1:11" ht="13.5" thickBot="1">
      <c r="A35" s="115"/>
      <c r="B35" s="116"/>
      <c r="C35" s="116"/>
      <c r="D35" s="33"/>
      <c r="E35" s="33"/>
      <c r="F35" s="33"/>
      <c r="G35" s="33"/>
      <c r="H35" s="33"/>
      <c r="I35" s="33"/>
      <c r="J35" s="3"/>
      <c r="K35" s="3"/>
    </row>
    <row r="36" spans="1:10" ht="12" customHeight="1" thickBot="1">
      <c r="A36" s="190" t="s">
        <v>51</v>
      </c>
      <c r="B36" s="191"/>
      <c r="C36" s="192"/>
      <c r="D36" s="32">
        <f aca="true" t="shared" si="4" ref="D36:I36">D32+D34</f>
        <v>3524.4680963188175</v>
      </c>
      <c r="E36" s="32">
        <f t="shared" si="4"/>
        <v>3169.477029776699</v>
      </c>
      <c r="F36" s="32">
        <f t="shared" si="4"/>
        <v>2920.5205375668584</v>
      </c>
      <c r="G36" s="32">
        <f t="shared" si="4"/>
        <v>2719.8804767190386</v>
      </c>
      <c r="H36" s="32">
        <f t="shared" si="4"/>
        <v>2563.8270960596233</v>
      </c>
      <c r="I36" s="32">
        <f t="shared" si="4"/>
        <v>2438.984391532091</v>
      </c>
      <c r="J36" s="3"/>
    </row>
    <row r="37" spans="1:10" ht="13.5" thickBot="1">
      <c r="A37" s="112" t="s">
        <v>52</v>
      </c>
      <c r="B37" s="5"/>
      <c r="C37" s="6"/>
      <c r="D37" s="32">
        <f>'Pryse + Sensatiwiteitsanalise'!B7</f>
        <v>2500</v>
      </c>
      <c r="E37" s="32">
        <f>$D$37</f>
        <v>2500</v>
      </c>
      <c r="F37" s="32">
        <f>$D$37</f>
        <v>2500</v>
      </c>
      <c r="G37" s="32">
        <f>$D$37</f>
        <v>2500</v>
      </c>
      <c r="H37" s="32">
        <f>$D$37</f>
        <v>2500</v>
      </c>
      <c r="I37" s="32">
        <f>$D$37</f>
        <v>2500</v>
      </c>
      <c r="J37" s="14"/>
    </row>
    <row r="38" spans="1:10" ht="14.25">
      <c r="A38" s="131" t="s">
        <v>56</v>
      </c>
      <c r="B38" s="132"/>
      <c r="C38" s="132"/>
      <c r="D38" s="132"/>
      <c r="E38" s="132"/>
      <c r="F38" s="132"/>
      <c r="G38" s="132"/>
      <c r="H38" s="133"/>
      <c r="I38" s="39"/>
      <c r="J38" s="39"/>
    </row>
    <row r="39" spans="1:10" ht="14.25">
      <c r="A39" s="134" t="s">
        <v>57</v>
      </c>
      <c r="B39" s="135"/>
      <c r="C39" s="135"/>
      <c r="D39" s="135"/>
      <c r="E39" s="135"/>
      <c r="F39" s="135"/>
      <c r="G39" s="135"/>
      <c r="H39" s="136"/>
      <c r="I39" s="39"/>
      <c r="J39" s="39"/>
    </row>
    <row r="40" spans="1:10" ht="15" thickBot="1">
      <c r="A40" s="137" t="s">
        <v>58</v>
      </c>
      <c r="B40" s="138"/>
      <c r="C40" s="138"/>
      <c r="D40" s="138"/>
      <c r="E40" s="138"/>
      <c r="F40" s="138"/>
      <c r="G40" s="138"/>
      <c r="H40" s="139"/>
      <c r="I40" s="39"/>
      <c r="J40" s="39"/>
    </row>
  </sheetData>
  <sheetProtection/>
  <mergeCells count="10">
    <mergeCell ref="Z7:AB7"/>
    <mergeCell ref="E1:G1"/>
    <mergeCell ref="A1:D1"/>
    <mergeCell ref="A36:C36"/>
    <mergeCell ref="A3:C3"/>
    <mergeCell ref="A8:C8"/>
    <mergeCell ref="A26:C26"/>
    <mergeCell ref="A28:C28"/>
    <mergeCell ref="A30:C30"/>
    <mergeCell ref="A32:C32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scale="64" r:id="rId2"/>
  <headerFooter>
    <oddHeader>&amp;C&amp;F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Luzelle Botha</cp:lastModifiedBy>
  <cp:lastPrinted>2016-07-25T08:02:50Z</cp:lastPrinted>
  <dcterms:created xsi:type="dcterms:W3CDTF">2007-01-09T12:07:13Z</dcterms:created>
  <dcterms:modified xsi:type="dcterms:W3CDTF">2017-09-20T13:55:39Z</dcterms:modified>
  <cp:category/>
  <cp:version/>
  <cp:contentType/>
  <cp:contentStatus/>
</cp:coreProperties>
</file>