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1355" windowHeight="5355" tabRatio="887" activeTab="0"/>
  </bookViews>
  <sheets>
    <sheet name="Pryse + Sensatiwiteitsanali" sheetId="1" r:id="rId1"/>
    <sheet name="W-Mielie " sheetId="2" r:id="rId2"/>
    <sheet name="W-Roundup R mielies " sheetId="3" r:id="rId3"/>
    <sheet name="W-BT Mielies" sheetId="4" r:id="rId4"/>
    <sheet name="Stapelgeen Mielie" sheetId="5" r:id="rId5"/>
    <sheet name="Graansorghum" sheetId="6" r:id="rId6"/>
    <sheet name="Sonneblom" sheetId="7" r:id="rId7"/>
    <sheet name="Grondbone" sheetId="8" r:id="rId8"/>
    <sheet name="Sojabone" sheetId="9" r:id="rId9"/>
    <sheet name="Bes-mielies" sheetId="10" r:id="rId10"/>
  </sheets>
  <externalReferences>
    <externalReference r:id="rId13"/>
  </externalReferences>
  <definedNames>
    <definedName name="BTpbrengspeil">'W-BT Mielies'!$K$9:$K$14</definedName>
    <definedName name="Opbrengspeil">'[1]W-Roundup R mielies '!$K$9:$K$14</definedName>
    <definedName name="_xlnm.Print_Area" localSheetId="9">'Bes-mielies'!$A$1:$I$64</definedName>
    <definedName name="_xlnm.Print_Area" localSheetId="5">'Graansorghum'!$A$1:$I$59</definedName>
    <definedName name="_xlnm.Print_Area" localSheetId="7">'Grondbone'!$A$1:$I$65</definedName>
    <definedName name="_xlnm.Print_Area" localSheetId="8">'Sojabone'!$A$1:$I$59</definedName>
    <definedName name="_xlnm.Print_Area" localSheetId="6">'Sonneblom'!$A$1:$I$59</definedName>
    <definedName name="_xlnm.Print_Area" localSheetId="4">'Stapelgeen Mielie'!$A$1:$I$62</definedName>
    <definedName name="_xlnm.Print_Area" localSheetId="3">'W-BT Mielies'!$A$1:$I$63</definedName>
    <definedName name="_xlnm.Print_Area" localSheetId="1">'W-Mielie '!$A$1:$I$63</definedName>
    <definedName name="_xlnm.Print_Area" localSheetId="2">'W-Roundup R mielies '!$A$1:$I$63</definedName>
    <definedName name="RRopbrengspeil">'W-Roundup R mielies '!$K$9:$K$14</definedName>
    <definedName name="Sojaopbrengspeil">'Sojabone'!$K$9:$K$14</definedName>
    <definedName name="Sonopbrengspeil">'Sonneblom'!$K$9:$K$12</definedName>
    <definedName name="Sorghopbrengspeil">'Graansorghum'!$K$9:$K$13</definedName>
    <definedName name="Sorgopbrengspeil">'Graansorghum'!$K$9:$K$13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<sst xmlns="http://schemas.openxmlformats.org/spreadsheetml/2006/main" count="485" uniqueCount="119">
  <si>
    <t>OPBRENGSPEIE EN PLAASHEK PRODUSENTPRYSE</t>
  </si>
  <si>
    <t xml:space="preserve">WINS / (VERLIES) BO TOTALE KOSTE SONDER DIREKTE BEMAKINGKOSTE EN WINS R/HA BY VERSKILLENDE </t>
  </si>
  <si>
    <t>PLAASHEK PRODUSENTEPRYS R/TON VIR BESTE GRAAD</t>
  </si>
  <si>
    <t>Rand/ton</t>
  </si>
  <si>
    <t>OPBRENGS TON/HA</t>
  </si>
  <si>
    <t>GEWAS SENSITIWITEITSANALISE VIR BESPROEIING MIELIES</t>
  </si>
  <si>
    <t>GEWAS SENSITIWITEITSANALISE VIR SOJABONE</t>
  </si>
  <si>
    <t>GEWAS SENSITIWITEITSANALISE VIR GRAANSORGHUM</t>
  </si>
  <si>
    <t>GEWAS SENSITIWITEITSANALISE VIR GRONDBONE</t>
  </si>
  <si>
    <t>GEWAS SENSITIWITEITSANALISE VIR SONNEBLOM</t>
  </si>
  <si>
    <t>GEWAS SENSITIWITEITSANALISE VIR WIT STAPELGEEN MIELIES</t>
  </si>
  <si>
    <t>GEWAS SENSITIWITEITSANALISE VIR BT WIT MIELIES</t>
  </si>
  <si>
    <t>GEWAS SENSITIWITEITSANALISE VIR WIT ROUNDUP READY MIELIES</t>
  </si>
  <si>
    <t>GEWAS SENSITIWITEITSANALISE VIR WIT KONVENSIONELE MIELIES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</si>
  <si>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</si>
  <si>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</si>
  <si>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</si>
  <si>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</si>
  <si>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t>Produsent prys raming vir droëland WIT KONVENSIONELE MIELIES vir die                     Producer price framework for dry land WHITE CONVENTIONAL MAIZE for the</t>
  </si>
  <si>
    <t>Produsent prys raming vir droëland WIT ROUND-UP READY MIELIES vir die /                    Producer price framework for dry land WHITE ROUND-UP READY MAIZE for the</t>
  </si>
  <si>
    <t>Produsent prys raming vir droëland WIT BT MIELIES vir die  /                                                  Producer price framework for dry land WHITE BT MAIZE for the</t>
  </si>
  <si>
    <t>Produsent prys raming vir droëland WIT STAPELGEEN MIELIES vir die  /                                     Producer price framework for dry land WHITE STAPELGENE maize for the</t>
  </si>
  <si>
    <t>Produsent prys raming vir droëland SONNEBLOM vir die                                                   / Producer price framework for dry land SUNFLOWER for the</t>
  </si>
  <si>
    <t>Produsent prys raming vir droëland GRONDBONE vir die /                                                            Producer price framework for dry land GROUNDNUTS for the</t>
  </si>
  <si>
    <t>Produsent prys raming vir droëland GRAANSORGHUM vir die/                                          Producer price framework for dry land GRAINSORGHUM for the</t>
  </si>
  <si>
    <t>Produsent prys raming vir BESPROEIING MIELIES vir die  /                                             Producer price framework for IRRIGATION MAIZE for the</t>
  </si>
  <si>
    <t>PRODUKSIEJAAR   2016-17   PRODUCTION YEAR 2016-17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</si>
  <si>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</si>
  <si>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</si>
  <si>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</si>
  <si>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</si>
  <si>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</si>
  <si>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</si>
  <si>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</si>
  <si>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</si>
  <si>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</si>
  <si>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</si>
  <si>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</si>
  <si>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</si>
  <si>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</si>
  <si>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</si>
  <si>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</si>
  <si>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</si>
  <si>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</si>
  <si>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</si>
  <si>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</si>
  <si>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</si>
  <si>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</si>
  <si>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</si>
  <si>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</si>
  <si>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</si>
  <si>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</si>
  <si>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</si>
  <si>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</si>
  <si>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Gemiddelde prys vir al die grade / Average price for all grades</t>
  </si>
  <si>
    <t>Besproeiingskoste / Irrigation cost</t>
  </si>
  <si>
    <t>PRODUKSIEJAAR   2016-17                      PRODUCTION YEAR 2016-17</t>
  </si>
  <si>
    <t>Produsent prys raming vir droëland SOJABONE vir die                                                          / Producer price framework for dry land SOYBEANS for the</t>
  </si>
  <si>
    <t>Datum opgedateer / Date updated</t>
  </si>
  <si>
    <t>Gewas</t>
  </si>
  <si>
    <t>SAFEX pryse (R/ton)</t>
  </si>
  <si>
    <t>Total deductions (R/ton)</t>
  </si>
  <si>
    <t xml:space="preserve">                    Diverse</t>
  </si>
  <si>
    <t>Mielies / Maize - 2016/17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</si>
  <si>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</si>
  <si>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</si>
  <si>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</si>
  <si>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</si>
  <si>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</si>
  <si>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</si>
  <si>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</si>
  <si>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</si>
  <si>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</si>
  <si>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</si>
  <si>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</si>
  <si>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</si>
  <si>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</si>
  <si>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Sonneblom / Sunflower - 2016/17</t>
  </si>
  <si>
    <t>SONNEBLOM: SENSATIWITIETSANALISE - TOTALE KOSTES ( DIREKTE KOSTE + VASTE KOSTE)</t>
  </si>
  <si>
    <t>SONNEBLOM: SENSATIWITIETSANALISE - DIREKTE KOSTE</t>
  </si>
  <si>
    <t>SAFEX May'17 1 prys/price  (R/ton)</t>
  </si>
  <si>
    <t>Sojabone Soyabean - 2016/17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</si>
  <si>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</si>
  <si>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</si>
  <si>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</si>
  <si>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</si>
  <si>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t>Sorghum Sorghum - 2016/17</t>
  </si>
  <si>
    <t>SORGHUM: SENSATIWITIETSANALISE - TOTALE KOSTES ( DIREKTE KOSTE + VASTE KOSTE)</t>
  </si>
  <si>
    <t>SORGHUM: SENSATIWITIETSANALISE - DIREKTE KOSTE</t>
  </si>
  <si>
    <t>SAFEX Jul'17 prys/price  (R/ton)</t>
  </si>
  <si>
    <t>Parys region</t>
  </si>
  <si>
    <t>Graadverdeling / Grade distribution</t>
  </si>
  <si>
    <t>Prys per graad / Price per grade (R/ton)</t>
  </si>
  <si>
    <t>%</t>
  </si>
  <si>
    <t>Keur / Choice</t>
  </si>
  <si>
    <t>Diverse / Diverse</t>
  </si>
  <si>
    <t xml:space="preserve">Pers (eet) / Crusch </t>
  </si>
  <si>
    <t>Pers (olie)</t>
  </si>
  <si>
    <t>Hooi verkope / sales</t>
  </si>
  <si>
    <t>ROUNDUP READY MIELIES / MAIZE</t>
  </si>
  <si>
    <t>BT MIELIES / MAIZE</t>
  </si>
  <si>
    <t>SONNEBLOM / SUNFLOWER</t>
  </si>
  <si>
    <t>GRAANSORGHUM / GRAIN SORGHUM</t>
  </si>
  <si>
    <t>Mielies / Maize- Jul 17</t>
  </si>
  <si>
    <t>Sonneblom / Sunflower- Mei 17</t>
  </si>
  <si>
    <t>Sojabone / Soybeans- Mei 17</t>
  </si>
  <si>
    <t>Graansorghum / Grain sorghum</t>
  </si>
  <si>
    <t>Grondbone/ Groundnuts:  Keur/ Choice</t>
  </si>
  <si>
    <t xml:space="preserve">                    Pers (eet) / Crush (eat)</t>
  </si>
  <si>
    <t xml:space="preserve">                    Pers (olie) / Crush (oil)</t>
  </si>
  <si>
    <t>RRMielies</t>
  </si>
  <si>
    <t>Opbrengspeil</t>
  </si>
  <si>
    <t>Lopende koste</t>
  </si>
  <si>
    <t>Oorhoofse koste</t>
  </si>
  <si>
    <t>Sorghum</t>
  </si>
  <si>
    <t>Sonneblom</t>
  </si>
  <si>
    <t>Soja</t>
  </si>
  <si>
    <t>BTMielies</t>
  </si>
  <si>
    <t>SOJABONE / SOYBEANS</t>
  </si>
</sst>
</file>

<file path=xl/styles.xml><?xml version="1.0" encoding="utf-8"?>
<styleSheet xmlns="http://schemas.openxmlformats.org/spreadsheetml/2006/main">
  <numFmts count="4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_)"/>
    <numFmt numFmtId="166" formatCode="0_)"/>
    <numFmt numFmtId="167" formatCode="0.000"/>
    <numFmt numFmtId="168" formatCode="mm/dd/yy"/>
    <numFmt numFmtId="169" formatCode="_(* #,##0.000000000000000_);_(* \(#,##0.000000000000000\);_(* &quot;-&quot;???????????????_);_(@_)"/>
    <numFmt numFmtId="170" formatCode="0.0"/>
    <numFmt numFmtId="171" formatCode="[$-436]dd\ mmmm\ yyyy;@"/>
    <numFmt numFmtId="172" formatCode="_ * #,##0.00_ ;_ * \-#,##0.00_ ;_ * &quot;-&quot;_ ;_ @_ "/>
    <numFmt numFmtId="173" formatCode="_ * #,##0.00000_ ;_ * \-#,##0.00000_ ;_ * &quot;-&quot;_ ;_ @_ "/>
    <numFmt numFmtId="174" formatCode="0.0%"/>
    <numFmt numFmtId="175" formatCode="0.0_)"/>
    <numFmt numFmtId="176" formatCode="_ * #,##0.0_ ;_ * \-#,##0.0_ ;_ * &quot;-&quot;?_ ;_ @_ "/>
    <numFmt numFmtId="177" formatCode="_ * #,##0.000_ ;_ * \-#,##0.000_ ;_ * &quot;-&quot;???_ ;_ @_ "/>
    <numFmt numFmtId="178" formatCode="0.0000_)"/>
    <numFmt numFmtId="179" formatCode="_(* #,##0.0000_);_(* \(#,##0.0000\);_(* &quot;-&quot;??_);_(@_)"/>
    <numFmt numFmtId="180" formatCode="_(* #,##0.0_);_(* \(#,##0.0\);_(* &quot;-&quot;??_);_(@_)"/>
    <numFmt numFmtId="181" formatCode="_ * #,##0.000_ ;_ * \-#,##0.000_ ;_ * &quot;-&quot;??_ ;_ @_ "/>
    <numFmt numFmtId="182" formatCode="_ * #,##0.0000_ ;_ * \-#,##0.0000_ ;_ * &quot;-&quot;??_ ;_ @_ "/>
    <numFmt numFmtId="183" formatCode="_ * #,##0.000000_ ;_ * \-#,##0.000000_ ;_ * &quot;-&quot;??_ ;_ @_ "/>
    <numFmt numFmtId="184" formatCode="_(* #,##0_);_(* \(#,##0\);_(* &quot;-&quot;??_);_(@_)"/>
    <numFmt numFmtId="185" formatCode="_ * #,##0_ ;_ * \-#,##0_ ;_ * &quot;-&quot;??_ ;_ @_ "/>
    <numFmt numFmtId="186" formatCode="_ * #,##0.0000000_ ;_ * \-#,##0.0000000_ ;_ * &quot;-&quot;??_ ;_ @_ "/>
    <numFmt numFmtId="187" formatCode="_ * #,##0.00000000_ ;_ * \-#,##0.00000000_ ;_ * &quot;-&quot;??_ ;_ @_ "/>
    <numFmt numFmtId="188" formatCode="0.000_)"/>
    <numFmt numFmtId="189" formatCode="_ * #,##0.00_ ;_ * \-#,##0.00_ ;_ * &quot;-&quot;?_ ;_ @_ "/>
    <numFmt numFmtId="190" formatCode="_(&quot;$&quot;* #,##0.00_);_(&quot;$&quot;* \(#,##0.00\);_(&quot;$&quot;* &quot;-&quot;??_);_(@_)"/>
    <numFmt numFmtId="191" formatCode="&quot;R&quot;\ #,##0.00"/>
    <numFmt numFmtId="192" formatCode="0.000000"/>
    <numFmt numFmtId="193" formatCode="#,##0.0_ ;\-#,##0.0\ "/>
    <numFmt numFmtId="194" formatCode="#,##0.0"/>
    <numFmt numFmtId="195" formatCode="&quot;R&quot;\ #,##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Segoe U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Continuous"/>
      <protection hidden="1"/>
    </xf>
    <xf numFmtId="0" fontId="0" fillId="0" borderId="15" xfId="0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66" fontId="1" fillId="36" borderId="17" xfId="0" applyNumberFormat="1" applyFont="1" applyFill="1" applyBorder="1" applyAlignment="1" applyProtection="1">
      <alignment horizontal="right"/>
      <protection hidden="1"/>
    </xf>
    <xf numFmtId="0" fontId="0" fillId="34" borderId="17" xfId="0" applyFont="1" applyFill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Continuous"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1" fillId="35" borderId="21" xfId="0" applyFon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1" fillId="35" borderId="22" xfId="0" applyFont="1" applyFill="1" applyBorder="1" applyAlignment="1" applyProtection="1">
      <alignment horizontal="centerContinuous"/>
      <protection hidden="1"/>
    </xf>
    <xf numFmtId="166" fontId="2" fillId="35" borderId="18" xfId="0" applyNumberFormat="1" applyFont="1" applyFill="1" applyBorder="1" applyAlignment="1" applyProtection="1">
      <alignment horizontal="center"/>
      <protection hidden="1"/>
    </xf>
    <xf numFmtId="166" fontId="2" fillId="37" borderId="18" xfId="0" applyNumberFormat="1" applyFont="1" applyFill="1" applyBorder="1" applyAlignment="1" applyProtection="1">
      <alignment horizontal="center"/>
      <protection hidden="1"/>
    </xf>
    <xf numFmtId="166" fontId="2" fillId="35" borderId="19" xfId="0" applyNumberFormat="1" applyFont="1" applyFill="1" applyBorder="1" applyAlignment="1" applyProtection="1">
      <alignment horizontal="center"/>
      <protection hidden="1"/>
    </xf>
    <xf numFmtId="165" fontId="2" fillId="35" borderId="23" xfId="0" applyNumberFormat="1" applyFont="1" applyFill="1" applyBorder="1" applyAlignment="1" applyProtection="1">
      <alignment horizontal="centerContinuous"/>
      <protection hidden="1"/>
    </xf>
    <xf numFmtId="0" fontId="2" fillId="35" borderId="23" xfId="0" applyFont="1" applyFill="1" applyBorder="1" applyAlignment="1" applyProtection="1">
      <alignment horizontal="centerContinuous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165" fontId="2" fillId="34" borderId="23" xfId="0" applyNumberFormat="1" applyFont="1" applyFill="1" applyBorder="1" applyAlignment="1" applyProtection="1">
      <alignment horizontal="centerContinuous"/>
      <protection hidden="1"/>
    </xf>
    <xf numFmtId="165" fontId="2" fillId="35" borderId="24" xfId="0" applyNumberFormat="1" applyFont="1" applyFill="1" applyBorder="1" applyAlignment="1" applyProtection="1">
      <alignment horizontal="centerContinuous"/>
      <protection hidden="1"/>
    </xf>
    <xf numFmtId="0" fontId="0" fillId="0" borderId="16" xfId="0" applyFont="1" applyFill="1" applyBorder="1" applyAlignment="1" applyProtection="1">
      <alignment/>
      <protection hidden="1"/>
    </xf>
    <xf numFmtId="43" fontId="0" fillId="0" borderId="0" xfId="0" applyNumberFormat="1" applyFont="1" applyFill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43" fontId="1" fillId="0" borderId="25" xfId="0" applyNumberFormat="1" applyFont="1" applyFill="1" applyBorder="1" applyAlignment="1" applyProtection="1">
      <alignment/>
      <protection hidden="1"/>
    </xf>
    <xf numFmtId="43" fontId="1" fillId="0" borderId="26" xfId="0" applyNumberFormat="1" applyFont="1" applyFill="1" applyBorder="1" applyAlignment="1" applyProtection="1">
      <alignment/>
      <protection hidden="1"/>
    </xf>
    <xf numFmtId="43" fontId="1" fillId="35" borderId="17" xfId="0" applyNumberFormat="1" applyFont="1" applyFill="1" applyBorder="1" applyAlignment="1" applyProtection="1">
      <alignment/>
      <protection hidden="1"/>
    </xf>
    <xf numFmtId="43" fontId="1" fillId="36" borderId="23" xfId="0" applyNumberFormat="1" applyFont="1" applyFill="1" applyBorder="1" applyAlignment="1" applyProtection="1">
      <alignment/>
      <protection hidden="1"/>
    </xf>
    <xf numFmtId="43" fontId="1" fillId="34" borderId="17" xfId="0" applyNumberFormat="1" applyFont="1" applyFill="1" applyBorder="1" applyAlignment="1" applyProtection="1">
      <alignment/>
      <protection hidden="1"/>
    </xf>
    <xf numFmtId="43" fontId="1" fillId="0" borderId="23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43" fontId="1" fillId="35" borderId="17" xfId="0" applyNumberFormat="1" applyFont="1" applyFill="1" applyBorder="1" applyAlignment="1" applyProtection="1">
      <alignment horizontal="right"/>
      <protection hidden="1"/>
    </xf>
    <xf numFmtId="43" fontId="0" fillId="0" borderId="11" xfId="0" applyNumberFormat="1" applyFont="1" applyFill="1" applyBorder="1" applyAlignment="1" applyProtection="1">
      <alignment horizontal="centerContinuous"/>
      <protection hidden="1"/>
    </xf>
    <xf numFmtId="43" fontId="1" fillId="0" borderId="0" xfId="0" applyNumberFormat="1" applyFont="1" applyFill="1" applyBorder="1" applyAlignment="1" applyProtection="1">
      <alignment/>
      <protection hidden="1"/>
    </xf>
    <xf numFmtId="43" fontId="1" fillId="0" borderId="20" xfId="0" applyNumberFormat="1" applyFont="1" applyFill="1" applyBorder="1" applyAlignment="1" applyProtection="1">
      <alignment/>
      <protection hidden="1"/>
    </xf>
    <xf numFmtId="43" fontId="1" fillId="34" borderId="11" xfId="0" applyNumberFormat="1" applyFont="1" applyFill="1" applyBorder="1" applyAlignment="1" applyProtection="1">
      <alignment horizontal="left"/>
      <protection hidden="1"/>
    </xf>
    <xf numFmtId="43" fontId="2" fillId="35" borderId="23" xfId="0" applyNumberFormat="1" applyFont="1" applyFill="1" applyBorder="1" applyAlignment="1" applyProtection="1">
      <alignment horizontal="centerContinuous"/>
      <protection hidden="1"/>
    </xf>
    <xf numFmtId="43" fontId="1" fillId="0" borderId="10" xfId="0" applyNumberFormat="1" applyFont="1" applyFill="1" applyBorder="1" applyAlignment="1" applyProtection="1">
      <alignment/>
      <protection hidden="1"/>
    </xf>
    <xf numFmtId="43" fontId="1" fillId="0" borderId="18" xfId="0" applyNumberFormat="1" applyFont="1" applyFill="1" applyBorder="1" applyAlignment="1" applyProtection="1">
      <alignment/>
      <protection hidden="1"/>
    </xf>
    <xf numFmtId="43" fontId="1" fillId="0" borderId="19" xfId="0" applyNumberFormat="1" applyFont="1" applyFill="1" applyBorder="1" applyAlignment="1" applyProtection="1">
      <alignment/>
      <protection hidden="1"/>
    </xf>
    <xf numFmtId="43" fontId="1" fillId="0" borderId="12" xfId="0" applyNumberFormat="1" applyFont="1" applyFill="1" applyBorder="1" applyAlignment="1" applyProtection="1">
      <alignment/>
      <protection hidden="1"/>
    </xf>
    <xf numFmtId="43" fontId="2" fillId="34" borderId="23" xfId="0" applyNumberFormat="1" applyFont="1" applyFill="1" applyBorder="1" applyAlignment="1" applyProtection="1">
      <alignment horizontal="centerContinuous"/>
      <protection hidden="1"/>
    </xf>
    <xf numFmtId="43" fontId="1" fillId="37" borderId="0" xfId="0" applyNumberFormat="1" applyFont="1" applyFill="1" applyBorder="1" applyAlignment="1" applyProtection="1">
      <alignment/>
      <protection hidden="1"/>
    </xf>
    <xf numFmtId="43" fontId="2" fillId="35" borderId="24" xfId="0" applyNumberFormat="1" applyFont="1" applyFill="1" applyBorder="1" applyAlignment="1" applyProtection="1">
      <alignment horizontal="centerContinuous"/>
      <protection hidden="1"/>
    </xf>
    <xf numFmtId="43" fontId="1" fillId="0" borderId="16" xfId="0" applyNumberFormat="1" applyFont="1" applyFill="1" applyBorder="1" applyAlignment="1" applyProtection="1">
      <alignment/>
      <protection hidden="1"/>
    </xf>
    <xf numFmtId="43" fontId="1" fillId="0" borderId="15" xfId="0" applyNumberFormat="1" applyFont="1" applyFill="1" applyBorder="1" applyAlignment="1" applyProtection="1">
      <alignment/>
      <protection hidden="1"/>
    </xf>
    <xf numFmtId="43" fontId="1" fillId="0" borderId="13" xfId="0" applyNumberFormat="1" applyFont="1" applyFill="1" applyBorder="1" applyAlignment="1" applyProtection="1">
      <alignment/>
      <protection hidden="1"/>
    </xf>
    <xf numFmtId="43" fontId="1" fillId="36" borderId="17" xfId="0" applyNumberFormat="1" applyFont="1" applyFill="1" applyBorder="1" applyAlignment="1" applyProtection="1">
      <alignment horizontal="right"/>
      <protection hidden="1"/>
    </xf>
    <xf numFmtId="43" fontId="0" fillId="34" borderId="17" xfId="0" applyNumberFormat="1" applyFont="1" applyFill="1" applyBorder="1" applyAlignment="1" applyProtection="1">
      <alignment/>
      <protection hidden="1"/>
    </xf>
    <xf numFmtId="43" fontId="1" fillId="0" borderId="11" xfId="0" applyNumberFormat="1" applyFont="1" applyFill="1" applyBorder="1" applyAlignment="1" applyProtection="1">
      <alignment horizontal="centerContinuous"/>
      <protection hidden="1"/>
    </xf>
    <xf numFmtId="43" fontId="2" fillId="0" borderId="11" xfId="0" applyNumberFormat="1" applyFont="1" applyFill="1" applyBorder="1" applyAlignment="1" applyProtection="1">
      <alignment/>
      <protection hidden="1"/>
    </xf>
    <xf numFmtId="43" fontId="1" fillId="0" borderId="11" xfId="0" applyNumberFormat="1" applyFont="1" applyFill="1" applyBorder="1" applyAlignment="1" applyProtection="1">
      <alignment horizontal="left"/>
      <protection hidden="1"/>
    </xf>
    <xf numFmtId="43" fontId="0" fillId="0" borderId="14" xfId="0" applyNumberFormat="1" applyFont="1" applyFill="1" applyBorder="1" applyAlignment="1" applyProtection="1">
      <alignment/>
      <protection hidden="1"/>
    </xf>
    <xf numFmtId="176" fontId="1" fillId="36" borderId="17" xfId="0" applyNumberFormat="1" applyFont="1" applyFill="1" applyBorder="1" applyAlignment="1" applyProtection="1">
      <alignment/>
      <protection hidden="1"/>
    </xf>
    <xf numFmtId="43" fontId="0" fillId="0" borderId="0" xfId="0" applyNumberFormat="1" applyFont="1" applyFill="1" applyBorder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176" fontId="55" fillId="0" borderId="0" xfId="0" applyNumberFormat="1" applyFont="1" applyFill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9" fillId="36" borderId="10" xfId="72" applyNumberFormat="1" applyFont="1" applyFill="1" applyBorder="1" applyAlignment="1">
      <alignment vertical="center"/>
      <protection/>
    </xf>
    <xf numFmtId="0" fontId="0" fillId="36" borderId="18" xfId="72" applyNumberFormat="1" applyFont="1" applyFill="1" applyBorder="1" applyAlignment="1" applyProtection="1">
      <alignment/>
      <protection hidden="1"/>
    </xf>
    <xf numFmtId="0" fontId="0" fillId="36" borderId="19" xfId="72" applyNumberFormat="1" applyFont="1" applyFill="1" applyBorder="1" applyAlignment="1" applyProtection="1">
      <alignment/>
      <protection hidden="1"/>
    </xf>
    <xf numFmtId="0" fontId="0" fillId="0" borderId="0" xfId="72">
      <alignment/>
      <protection/>
    </xf>
    <xf numFmtId="0" fontId="10" fillId="36" borderId="12" xfId="72" applyNumberFormat="1" applyFont="1" applyFill="1" applyBorder="1" applyAlignment="1">
      <alignment vertical="center"/>
      <protection/>
    </xf>
    <xf numFmtId="0" fontId="0" fillId="36" borderId="0" xfId="72" applyNumberFormat="1" applyFont="1" applyFill="1" applyBorder="1" applyAlignment="1" applyProtection="1">
      <alignment/>
      <protection hidden="1"/>
    </xf>
    <xf numFmtId="0" fontId="0" fillId="36" borderId="20" xfId="72" applyNumberFormat="1" applyFont="1" applyFill="1" applyBorder="1" applyAlignment="1" applyProtection="1">
      <alignment/>
      <protection hidden="1"/>
    </xf>
    <xf numFmtId="0" fontId="10" fillId="36" borderId="16" xfId="72" applyNumberFormat="1" applyFont="1" applyFill="1" applyBorder="1" applyAlignment="1">
      <alignment vertical="center"/>
      <protection/>
    </xf>
    <xf numFmtId="0" fontId="0" fillId="36" borderId="15" xfId="72" applyNumberFormat="1" applyFont="1" applyFill="1" applyBorder="1" applyAlignment="1" applyProtection="1">
      <alignment/>
      <protection hidden="1"/>
    </xf>
    <xf numFmtId="0" fontId="0" fillId="36" borderId="13" xfId="72" applyNumberFormat="1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 horizontal="left"/>
      <protection hidden="1"/>
    </xf>
    <xf numFmtId="0" fontId="1" fillId="34" borderId="11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35" borderId="21" xfId="0" applyFont="1" applyFill="1" applyBorder="1" applyAlignment="1" applyProtection="1">
      <alignment horizontal="left"/>
      <protection hidden="1"/>
    </xf>
    <xf numFmtId="0" fontId="1" fillId="35" borderId="11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165" fontId="1" fillId="35" borderId="14" xfId="0" applyNumberFormat="1" applyFont="1" applyFill="1" applyBorder="1" applyAlignment="1" applyProtection="1">
      <alignment horizontal="left"/>
      <protection hidden="1"/>
    </xf>
    <xf numFmtId="0" fontId="1" fillId="0" borderId="21" xfId="72" applyFont="1" applyFill="1" applyBorder="1" applyAlignment="1" applyProtection="1">
      <alignment horizontal="left"/>
      <protection hidden="1"/>
    </xf>
    <xf numFmtId="0" fontId="1" fillId="35" borderId="21" xfId="72" applyFont="1" applyFill="1" applyBorder="1" applyAlignment="1" applyProtection="1">
      <alignment horizontal="left"/>
      <protection hidden="1"/>
    </xf>
    <xf numFmtId="0" fontId="1" fillId="0" borderId="27" xfId="72" applyFont="1" applyFill="1" applyBorder="1" applyAlignment="1" applyProtection="1">
      <alignment horizontal="left"/>
      <protection hidden="1"/>
    </xf>
    <xf numFmtId="0" fontId="1" fillId="0" borderId="12" xfId="72" applyFont="1" applyFill="1" applyBorder="1" applyAlignment="1" applyProtection="1">
      <alignment horizontal="left"/>
      <protection hidden="1"/>
    </xf>
    <xf numFmtId="0" fontId="1" fillId="0" borderId="0" xfId="72" applyFont="1" applyFill="1" applyBorder="1" applyAlignment="1" applyProtection="1">
      <alignment horizontal="left"/>
      <protection hidden="1"/>
    </xf>
    <xf numFmtId="0" fontId="1" fillId="0" borderId="28" xfId="72" applyFont="1" applyFill="1" applyBorder="1" applyAlignment="1" applyProtection="1">
      <alignment horizontal="left"/>
      <protection hidden="1"/>
    </xf>
    <xf numFmtId="0" fontId="1" fillId="0" borderId="29" xfId="72" applyFont="1" applyFill="1" applyBorder="1" applyAlignment="1" applyProtection="1">
      <alignment horizontal="left"/>
      <protection hidden="1"/>
    </xf>
    <xf numFmtId="0" fontId="1" fillId="0" borderId="30" xfId="72" applyFont="1" applyFill="1" applyBorder="1" applyAlignment="1" applyProtection="1">
      <alignment horizontal="left"/>
      <protection hidden="1"/>
    </xf>
    <xf numFmtId="0" fontId="1" fillId="36" borderId="12" xfId="72" applyFont="1" applyFill="1" applyBorder="1" applyAlignment="1" applyProtection="1">
      <alignment horizontal="left"/>
      <protection hidden="1"/>
    </xf>
    <xf numFmtId="0" fontId="1" fillId="36" borderId="0" xfId="72" applyFont="1" applyFill="1" applyBorder="1" applyAlignment="1" applyProtection="1">
      <alignment horizontal="left"/>
      <protection hidden="1"/>
    </xf>
    <xf numFmtId="0" fontId="1" fillId="0" borderId="27" xfId="0" applyFont="1" applyFill="1" applyBorder="1" applyAlignment="1" applyProtection="1">
      <alignment horizontal="left"/>
      <protection hidden="1"/>
    </xf>
    <xf numFmtId="0" fontId="1" fillId="0" borderId="30" xfId="0" applyFont="1" applyFill="1" applyBorder="1" applyAlignment="1" applyProtection="1">
      <alignment horizontal="left"/>
      <protection hidden="1"/>
    </xf>
    <xf numFmtId="0" fontId="56" fillId="0" borderId="0" xfId="103" applyFont="1">
      <alignment/>
      <protection/>
    </xf>
    <xf numFmtId="0" fontId="0" fillId="0" borderId="0" xfId="103">
      <alignment/>
      <protection/>
    </xf>
    <xf numFmtId="0" fontId="4" fillId="0" borderId="0" xfId="103" applyFont="1">
      <alignment/>
      <protection/>
    </xf>
    <xf numFmtId="0" fontId="0" fillId="0" borderId="0" xfId="76">
      <alignment/>
      <protection/>
    </xf>
    <xf numFmtId="15" fontId="0" fillId="0" borderId="0" xfId="76" applyNumberFormat="1">
      <alignment/>
      <protection/>
    </xf>
    <xf numFmtId="0" fontId="53" fillId="16" borderId="31" xfId="0" applyFont="1" applyFill="1" applyBorder="1" applyAlignment="1">
      <alignment/>
    </xf>
    <xf numFmtId="0" fontId="53" fillId="16" borderId="31" xfId="0" applyFont="1" applyFill="1" applyBorder="1" applyAlignment="1">
      <alignment horizontal="center"/>
    </xf>
    <xf numFmtId="0" fontId="53" fillId="16" borderId="31" xfId="76" applyFont="1" applyFill="1" applyBorder="1" applyAlignment="1">
      <alignment horizontal="center" wrapText="1"/>
      <protection/>
    </xf>
    <xf numFmtId="0" fontId="53" fillId="0" borderId="0" xfId="0" applyFont="1" applyFill="1" applyBorder="1" applyAlignment="1">
      <alignment/>
    </xf>
    <xf numFmtId="195" fontId="53" fillId="0" borderId="0" xfId="0" applyNumberFormat="1" applyFont="1" applyFill="1" applyBorder="1" applyAlignment="1">
      <alignment horizontal="center"/>
    </xf>
    <xf numFmtId="0" fontId="0" fillId="0" borderId="0" xfId="103" applyFill="1">
      <alignment/>
      <protection/>
    </xf>
    <xf numFmtId="0" fontId="4" fillId="0" borderId="0" xfId="103" applyFont="1" applyFill="1">
      <alignment/>
      <protection/>
    </xf>
    <xf numFmtId="0" fontId="4" fillId="0" borderId="21" xfId="103" applyFont="1" applyBorder="1">
      <alignment/>
      <protection/>
    </xf>
    <xf numFmtId="14" fontId="1" fillId="0" borderId="17" xfId="103" applyNumberFormat="1" applyFont="1" applyBorder="1">
      <alignment/>
      <protection/>
    </xf>
    <xf numFmtId="14" fontId="1" fillId="0" borderId="0" xfId="103" applyNumberFormat="1" applyFont="1" applyBorder="1">
      <alignment/>
      <protection/>
    </xf>
    <xf numFmtId="0" fontId="0" fillId="5" borderId="32" xfId="103" applyFont="1" applyFill="1" applyBorder="1" applyAlignment="1">
      <alignment horizontal="left" vertical="center"/>
      <protection/>
    </xf>
    <xf numFmtId="43" fontId="0" fillId="0" borderId="0" xfId="103" applyNumberFormat="1" applyBorder="1" applyAlignment="1">
      <alignment horizontal="center"/>
      <protection/>
    </xf>
    <xf numFmtId="0" fontId="0" fillId="0" borderId="21" xfId="103" applyFont="1" applyBorder="1" applyAlignment="1">
      <alignment horizontal="center" vertical="center" wrapText="1"/>
      <protection/>
    </xf>
    <xf numFmtId="0" fontId="0" fillId="0" borderId="11" xfId="103" applyFont="1" applyBorder="1" applyAlignment="1">
      <alignment horizontal="center" vertical="center" wrapText="1"/>
      <protection/>
    </xf>
    <xf numFmtId="0" fontId="55" fillId="36" borderId="17" xfId="103" applyFont="1" applyFill="1" applyBorder="1" applyAlignment="1">
      <alignment horizontal="center" vertical="center"/>
      <protection/>
    </xf>
    <xf numFmtId="0" fontId="57" fillId="36" borderId="17" xfId="103" applyFont="1" applyFill="1" applyBorder="1" applyAlignment="1">
      <alignment horizontal="center" vertical="center"/>
      <protection/>
    </xf>
    <xf numFmtId="0" fontId="55" fillId="36" borderId="11" xfId="103" applyFont="1" applyFill="1" applyBorder="1" applyAlignment="1">
      <alignment horizontal="center" vertical="center"/>
      <protection/>
    </xf>
    <xf numFmtId="0" fontId="0" fillId="5" borderId="27" xfId="103" applyFont="1" applyFill="1" applyBorder="1" applyAlignment="1">
      <alignment horizontal="left" vertical="center"/>
      <protection/>
    </xf>
    <xf numFmtId="0" fontId="1" fillId="36" borderId="17" xfId="103" applyFont="1" applyFill="1" applyBorder="1" applyAlignment="1">
      <alignment horizontal="center" vertical="center"/>
      <protection/>
    </xf>
    <xf numFmtId="195" fontId="55" fillId="36" borderId="17" xfId="103" applyNumberFormat="1" applyFont="1" applyFill="1" applyBorder="1" applyAlignment="1">
      <alignment horizontal="center" vertical="center"/>
      <protection/>
    </xf>
    <xf numFmtId="0" fontId="1" fillId="36" borderId="17" xfId="103" applyNumberFormat="1" applyFont="1" applyFill="1" applyBorder="1" applyAlignment="1">
      <alignment horizontal="center" vertical="center"/>
      <protection/>
    </xf>
    <xf numFmtId="0" fontId="55" fillId="36" borderId="17" xfId="103" applyNumberFormat="1" applyFont="1" applyFill="1" applyBorder="1" applyAlignment="1">
      <alignment horizontal="center" vertical="center"/>
      <protection/>
    </xf>
    <xf numFmtId="0" fontId="1" fillId="5" borderId="27" xfId="103" applyFont="1" applyFill="1" applyBorder="1" applyAlignment="1">
      <alignment horizontal="left" vertical="center"/>
      <protection/>
    </xf>
    <xf numFmtId="43" fontId="1" fillId="5" borderId="26" xfId="103" applyNumberFormat="1" applyFont="1" applyFill="1" applyBorder="1" applyAlignment="1">
      <alignment horizontal="center"/>
      <protection/>
    </xf>
    <xf numFmtId="43" fontId="1" fillId="0" borderId="0" xfId="103" applyNumberFormat="1" applyFont="1" applyBorder="1" applyAlignment="1">
      <alignment horizontal="center"/>
      <protection/>
    </xf>
    <xf numFmtId="0" fontId="1" fillId="0" borderId="22" xfId="103" applyNumberFormat="1" applyFont="1" applyBorder="1" applyAlignment="1">
      <alignment horizontal="center" vertical="center"/>
      <protection/>
    </xf>
    <xf numFmtId="195" fontId="55" fillId="0" borderId="22" xfId="103" applyNumberFormat="1" applyFont="1" applyBorder="1" applyAlignment="1">
      <alignment horizontal="center" vertical="center"/>
      <protection/>
    </xf>
    <xf numFmtId="0" fontId="55" fillId="0" borderId="22" xfId="103" applyNumberFormat="1" applyFont="1" applyBorder="1" applyAlignment="1">
      <alignment horizontal="center" vertical="center"/>
      <protection/>
    </xf>
    <xf numFmtId="0" fontId="0" fillId="0" borderId="27" xfId="103" applyFont="1" applyBorder="1" applyAlignment="1">
      <alignment horizontal="left" vertical="center"/>
      <protection/>
    </xf>
    <xf numFmtId="43" fontId="0" fillId="0" borderId="26" xfId="103" applyNumberFormat="1" applyBorder="1" applyAlignment="1">
      <alignment horizontal="center"/>
      <protection/>
    </xf>
    <xf numFmtId="170" fontId="1" fillId="0" borderId="21" xfId="103" applyNumberFormat="1" applyFont="1" applyBorder="1" applyAlignment="1">
      <alignment horizontal="center" vertical="center"/>
      <protection/>
    </xf>
    <xf numFmtId="1" fontId="1" fillId="38" borderId="33" xfId="103" applyNumberFormat="1" applyFont="1" applyFill="1" applyBorder="1" applyAlignment="1">
      <alignment horizontal="center" vertical="center"/>
      <protection/>
    </xf>
    <xf numFmtId="1" fontId="1" fillId="38" borderId="34" xfId="103" applyNumberFormat="1" applyFont="1" applyFill="1" applyBorder="1" applyAlignment="1">
      <alignment horizontal="center" vertical="center"/>
      <protection/>
    </xf>
    <xf numFmtId="1" fontId="1" fillId="39" borderId="34" xfId="103" applyNumberFormat="1" applyFont="1" applyFill="1" applyBorder="1" applyAlignment="1">
      <alignment horizontal="center" vertical="center"/>
      <protection/>
    </xf>
    <xf numFmtId="1" fontId="1" fillId="39" borderId="35" xfId="103" applyNumberFormat="1" applyFont="1" applyFill="1" applyBorder="1" applyAlignment="1">
      <alignment horizontal="center" vertical="center"/>
      <protection/>
    </xf>
    <xf numFmtId="0" fontId="0" fillId="12" borderId="27" xfId="103" applyFont="1" applyFill="1" applyBorder="1" applyAlignment="1">
      <alignment horizontal="left" vertical="center"/>
      <protection/>
    </xf>
    <xf numFmtId="1" fontId="1" fillId="38" borderId="36" xfId="103" applyNumberFormat="1" applyFont="1" applyFill="1" applyBorder="1" applyAlignment="1">
      <alignment horizontal="center" vertical="center"/>
      <protection/>
    </xf>
    <xf numFmtId="1" fontId="1" fillId="38" borderId="31" xfId="103" applyNumberFormat="1" applyFont="1" applyFill="1" applyBorder="1" applyAlignment="1">
      <alignment horizontal="center" vertical="center"/>
      <protection/>
    </xf>
    <xf numFmtId="1" fontId="1" fillId="39" borderId="31" xfId="103" applyNumberFormat="1" applyFont="1" applyFill="1" applyBorder="1" applyAlignment="1">
      <alignment horizontal="center" vertical="center"/>
      <protection/>
    </xf>
    <xf numFmtId="1" fontId="1" fillId="39" borderId="37" xfId="103" applyNumberFormat="1" applyFont="1" applyFill="1" applyBorder="1" applyAlignment="1">
      <alignment horizontal="center" vertical="center"/>
      <protection/>
    </xf>
    <xf numFmtId="170" fontId="55" fillId="0" borderId="21" xfId="103" applyNumberFormat="1" applyFont="1" applyBorder="1" applyAlignment="1">
      <alignment horizontal="center" vertical="center"/>
      <protection/>
    </xf>
    <xf numFmtId="0" fontId="0" fillId="7" borderId="27" xfId="103" applyFont="1" applyFill="1" applyBorder="1" applyAlignment="1">
      <alignment horizontal="left" vertical="center"/>
      <protection/>
    </xf>
    <xf numFmtId="195" fontId="0" fillId="7" borderId="26" xfId="103" applyNumberFormat="1" applyFill="1" applyBorder="1" applyAlignment="1">
      <alignment horizontal="center"/>
      <protection/>
    </xf>
    <xf numFmtId="0" fontId="0" fillId="7" borderId="27" xfId="103" applyFont="1" applyFill="1" applyBorder="1" applyAlignment="1">
      <alignment horizontal="left" vertical="center" wrapText="1"/>
      <protection/>
    </xf>
    <xf numFmtId="1" fontId="1" fillId="38" borderId="38" xfId="103" applyNumberFormat="1" applyFont="1" applyFill="1" applyBorder="1" applyAlignment="1">
      <alignment horizontal="center" vertical="center"/>
      <protection/>
    </xf>
    <xf numFmtId="1" fontId="1" fillId="38" borderId="39" xfId="103" applyNumberFormat="1" applyFont="1" applyFill="1" applyBorder="1" applyAlignment="1">
      <alignment horizontal="center" vertical="center"/>
      <protection/>
    </xf>
    <xf numFmtId="1" fontId="1" fillId="39" borderId="39" xfId="103" applyNumberFormat="1" applyFont="1" applyFill="1" applyBorder="1" applyAlignment="1">
      <alignment horizontal="center" vertical="center"/>
      <protection/>
    </xf>
    <xf numFmtId="1" fontId="1" fillId="39" borderId="40" xfId="103" applyNumberFormat="1" applyFont="1" applyFill="1" applyBorder="1" applyAlignment="1">
      <alignment horizontal="center" vertical="center"/>
      <protection/>
    </xf>
    <xf numFmtId="0" fontId="1" fillId="7" borderId="41" xfId="103" applyFont="1" applyFill="1" applyBorder="1" applyAlignment="1">
      <alignment horizontal="left" vertical="center" wrapText="1"/>
      <protection/>
    </xf>
    <xf numFmtId="43" fontId="1" fillId="7" borderId="42" xfId="103" applyNumberFormat="1" applyFont="1" applyFill="1" applyBorder="1" applyAlignment="1">
      <alignment horizontal="center"/>
      <protection/>
    </xf>
    <xf numFmtId="0" fontId="13" fillId="0" borderId="0" xfId="103" applyFont="1" applyBorder="1" applyAlignment="1">
      <alignment horizontal="center" vertical="center" textRotation="90" wrapText="1"/>
      <protection/>
    </xf>
    <xf numFmtId="170" fontId="13" fillId="0" borderId="0" xfId="103" applyNumberFormat="1" applyFont="1" applyBorder="1" applyAlignment="1">
      <alignment horizontal="center" vertical="center"/>
      <protection/>
    </xf>
    <xf numFmtId="1" fontId="13" fillId="0" borderId="0" xfId="103" applyNumberFormat="1" applyFont="1" applyFill="1" applyBorder="1" applyAlignment="1">
      <alignment horizontal="center" vertical="center"/>
      <protection/>
    </xf>
    <xf numFmtId="0" fontId="1" fillId="0" borderId="0" xfId="103" applyFont="1" applyFill="1" applyBorder="1" applyAlignment="1">
      <alignment horizontal="left" vertical="center" wrapText="1"/>
      <protection/>
    </xf>
    <xf numFmtId="43" fontId="1" fillId="0" borderId="0" xfId="103" applyNumberFormat="1" applyFont="1" applyFill="1" applyBorder="1" applyAlignment="1">
      <alignment horizontal="center"/>
      <protection/>
    </xf>
    <xf numFmtId="43" fontId="0" fillId="0" borderId="0" xfId="103" applyNumberFormat="1" applyFill="1" applyBorder="1" applyAlignment="1">
      <alignment horizontal="center"/>
      <protection/>
    </xf>
    <xf numFmtId="0" fontId="13" fillId="0" borderId="0" xfId="103" applyFont="1" applyFill="1" applyBorder="1" applyAlignment="1">
      <alignment horizontal="center" vertical="center" textRotation="90" wrapText="1"/>
      <protection/>
    </xf>
    <xf numFmtId="170" fontId="13" fillId="0" borderId="0" xfId="103" applyNumberFormat="1" applyFont="1" applyFill="1" applyBorder="1" applyAlignment="1">
      <alignment horizontal="center" vertical="center"/>
      <protection/>
    </xf>
    <xf numFmtId="195" fontId="1" fillId="7" borderId="42" xfId="103" applyNumberFormat="1" applyFont="1" applyFill="1" applyBorder="1" applyAlignment="1">
      <alignment horizontal="center"/>
      <protection/>
    </xf>
    <xf numFmtId="185" fontId="1" fillId="36" borderId="17" xfId="103" applyNumberFormat="1" applyFont="1" applyFill="1" applyBorder="1" applyAlignment="1">
      <alignment horizontal="center" vertical="center"/>
      <protection/>
    </xf>
    <xf numFmtId="185" fontId="57" fillId="36" borderId="17" xfId="103" applyNumberFormat="1" applyFont="1" applyFill="1" applyBorder="1" applyAlignment="1">
      <alignment horizontal="center" vertical="center"/>
      <protection/>
    </xf>
    <xf numFmtId="185" fontId="55" fillId="36" borderId="17" xfId="103" applyNumberFormat="1" applyFont="1" applyFill="1" applyBorder="1" applyAlignment="1">
      <alignment horizontal="center" vertical="center"/>
      <protection/>
    </xf>
    <xf numFmtId="185" fontId="57" fillId="0" borderId="22" xfId="103" applyNumberFormat="1" applyFont="1" applyBorder="1" applyAlignment="1">
      <alignment horizontal="center" vertical="center"/>
      <protection/>
    </xf>
    <xf numFmtId="185" fontId="55" fillId="0" borderId="22" xfId="103" applyNumberFormat="1" applyFont="1" applyBorder="1" applyAlignment="1">
      <alignment horizontal="center" vertical="center"/>
      <protection/>
    </xf>
    <xf numFmtId="43" fontId="0" fillId="0" borderId="0" xfId="103" applyNumberFormat="1" applyBorder="1" applyAlignment="1">
      <alignment horizontal="center" vertical="center"/>
      <protection/>
    </xf>
    <xf numFmtId="0" fontId="1" fillId="0" borderId="0" xfId="103" applyFont="1" applyBorder="1" applyAlignment="1">
      <alignment horizontal="center" vertical="center"/>
      <protection/>
    </xf>
    <xf numFmtId="185" fontId="1" fillId="0" borderId="22" xfId="103" applyNumberFormat="1" applyFont="1" applyBorder="1" applyAlignment="1">
      <alignment horizontal="center" vertical="center"/>
      <protection/>
    </xf>
    <xf numFmtId="0" fontId="0" fillId="0" borderId="0" xfId="103" applyBorder="1" applyAlignment="1">
      <alignment horizontal="center" vertical="center"/>
      <protection/>
    </xf>
    <xf numFmtId="2" fontId="0" fillId="0" borderId="0" xfId="103" applyNumberFormat="1" applyBorder="1" applyAlignment="1">
      <alignment horizontal="center" vertical="center"/>
      <protection/>
    </xf>
    <xf numFmtId="191" fontId="0" fillId="7" borderId="26" xfId="103" applyNumberFormat="1" applyFill="1" applyBorder="1" applyAlignment="1">
      <alignment horizontal="center"/>
      <protection/>
    </xf>
    <xf numFmtId="43" fontId="0" fillId="0" borderId="0" xfId="103" applyNumberFormat="1" applyBorder="1" applyAlignment="1">
      <alignment horizontal="center" vertical="center" wrapText="1"/>
      <protection/>
    </xf>
    <xf numFmtId="191" fontId="1" fillId="7" borderId="42" xfId="103" applyNumberFormat="1" applyFont="1" applyFill="1" applyBorder="1" applyAlignment="1">
      <alignment horizontal="center"/>
      <protection/>
    </xf>
    <xf numFmtId="0" fontId="0" fillId="0" borderId="0" xfId="72" applyFont="1" applyFill="1" applyBorder="1" applyAlignment="1" applyProtection="1">
      <alignment/>
      <protection hidden="1"/>
    </xf>
    <xf numFmtId="0" fontId="0" fillId="0" borderId="0" xfId="72" applyFont="1" applyFill="1" applyAlignment="1" applyProtection="1">
      <alignment/>
      <protection hidden="1"/>
    </xf>
    <xf numFmtId="0" fontId="1" fillId="0" borderId="31" xfId="72" applyFont="1" applyFill="1" applyBorder="1" applyAlignment="1" applyProtection="1">
      <alignment horizontal="left"/>
      <protection hidden="1"/>
    </xf>
    <xf numFmtId="43" fontId="1" fillId="0" borderId="31" xfId="72" applyNumberFormat="1" applyFont="1" applyFill="1" applyBorder="1" applyAlignment="1" applyProtection="1">
      <alignment/>
      <protection hidden="1"/>
    </xf>
    <xf numFmtId="43" fontId="1" fillId="0" borderId="37" xfId="72" applyNumberFormat="1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11" xfId="72" applyFont="1" applyFill="1" applyBorder="1" applyAlignment="1" applyProtection="1">
      <alignment horizontal="center"/>
      <protection hidden="1"/>
    </xf>
    <xf numFmtId="0" fontId="0" fillId="0" borderId="14" xfId="72" applyFont="1" applyFill="1" applyBorder="1" applyAlignment="1" applyProtection="1">
      <alignment horizontal="center"/>
      <protection hidden="1"/>
    </xf>
    <xf numFmtId="0" fontId="2" fillId="0" borderId="11" xfId="72" applyFont="1" applyFill="1" applyBorder="1" applyAlignment="1" applyProtection="1">
      <alignment/>
      <protection hidden="1"/>
    </xf>
    <xf numFmtId="0" fontId="1" fillId="0" borderId="11" xfId="72" applyFont="1" applyFill="1" applyBorder="1" applyAlignment="1" applyProtection="1">
      <alignment horizontal="left"/>
      <protection hidden="1"/>
    </xf>
    <xf numFmtId="0" fontId="0" fillId="0" borderId="14" xfId="72" applyFont="1" applyFill="1" applyBorder="1" applyAlignment="1" applyProtection="1">
      <alignment/>
      <protection hidden="1"/>
    </xf>
    <xf numFmtId="176" fontId="1" fillId="36" borderId="17" xfId="72" applyNumberFormat="1" applyFont="1" applyFill="1" applyBorder="1" applyAlignment="1" applyProtection="1">
      <alignment/>
      <protection hidden="1"/>
    </xf>
    <xf numFmtId="43" fontId="1" fillId="35" borderId="17" xfId="72" applyNumberFormat="1" applyFont="1" applyFill="1" applyBorder="1" applyAlignment="1" applyProtection="1">
      <alignment horizontal="right"/>
      <protection hidden="1"/>
    </xf>
    <xf numFmtId="9" fontId="55" fillId="0" borderId="31" xfId="108" applyFont="1" applyFill="1" applyBorder="1" applyAlignment="1" applyProtection="1">
      <alignment horizontal="center"/>
      <protection hidden="1"/>
    </xf>
    <xf numFmtId="43" fontId="1" fillId="0" borderId="43" xfId="72" applyNumberFormat="1" applyFont="1" applyFill="1" applyBorder="1" applyAlignment="1" applyProtection="1">
      <alignment/>
      <protection hidden="1"/>
    </xf>
    <xf numFmtId="43" fontId="1" fillId="0" borderId="44" xfId="72" applyNumberFormat="1" applyFont="1" applyFill="1" applyBorder="1" applyAlignment="1" applyProtection="1">
      <alignment/>
      <protection hidden="1"/>
    </xf>
    <xf numFmtId="0" fontId="0" fillId="34" borderId="19" xfId="72" applyFont="1" applyFill="1" applyBorder="1" applyAlignment="1" applyProtection="1">
      <alignment vertical="center"/>
      <protection hidden="1"/>
    </xf>
    <xf numFmtId="0" fontId="1" fillId="34" borderId="15" xfId="72" applyFont="1" applyFill="1" applyBorder="1" applyAlignment="1" applyProtection="1">
      <alignment/>
      <protection hidden="1"/>
    </xf>
    <xf numFmtId="0" fontId="1" fillId="34" borderId="19" xfId="72" applyFont="1" applyFill="1" applyBorder="1" applyAlignment="1" applyProtection="1">
      <alignment horizontal="left" vertical="center"/>
      <protection hidden="1"/>
    </xf>
    <xf numFmtId="0" fontId="0" fillId="34" borderId="19" xfId="72" applyFont="1" applyFill="1" applyBorder="1" applyAlignment="1" applyProtection="1">
      <alignment/>
      <protection hidden="1"/>
    </xf>
    <xf numFmtId="0" fontId="1" fillId="34" borderId="19" xfId="72" applyFont="1" applyFill="1" applyBorder="1" applyAlignment="1" applyProtection="1">
      <alignment vertical="center" wrapText="1"/>
      <protection hidden="1"/>
    </xf>
    <xf numFmtId="43" fontId="1" fillId="34" borderId="15" xfId="72" applyNumberFormat="1" applyFont="1" applyFill="1" applyBorder="1" applyAlignment="1" applyProtection="1">
      <alignment/>
      <protection hidden="1"/>
    </xf>
    <xf numFmtId="0" fontId="0" fillId="34" borderId="15" xfId="72" applyFont="1" applyFill="1" applyBorder="1" applyAlignment="1" applyProtection="1">
      <alignment/>
      <protection hidden="1"/>
    </xf>
    <xf numFmtId="0" fontId="0" fillId="34" borderId="13" xfId="72" applyFont="1" applyFill="1" applyBorder="1" applyAlignment="1" applyProtection="1">
      <alignment/>
      <protection hidden="1"/>
    </xf>
    <xf numFmtId="0" fontId="1" fillId="0" borderId="33" xfId="72" applyFont="1" applyFill="1" applyBorder="1" applyAlignment="1" applyProtection="1">
      <alignment horizontal="left"/>
      <protection locked="0"/>
    </xf>
    <xf numFmtId="0" fontId="1" fillId="0" borderId="34" xfId="72" applyFont="1" applyFill="1" applyBorder="1" applyAlignment="1" applyProtection="1">
      <alignment horizontal="left"/>
      <protection hidden="1"/>
    </xf>
    <xf numFmtId="43" fontId="1" fillId="0" borderId="45" xfId="72" applyNumberFormat="1" applyFont="1" applyFill="1" applyBorder="1" applyAlignment="1" applyProtection="1">
      <alignment/>
      <protection hidden="1"/>
    </xf>
    <xf numFmtId="9" fontId="55" fillId="0" borderId="34" xfId="108" applyFont="1" applyFill="1" applyBorder="1" applyAlignment="1" applyProtection="1">
      <alignment horizontal="center"/>
      <protection hidden="1"/>
    </xf>
    <xf numFmtId="43" fontId="1" fillId="0" borderId="46" xfId="72" applyNumberFormat="1" applyFont="1" applyFill="1" applyBorder="1" applyAlignment="1" applyProtection="1">
      <alignment/>
      <protection hidden="1"/>
    </xf>
    <xf numFmtId="43" fontId="1" fillId="0" borderId="34" xfId="72" applyNumberFormat="1" applyFont="1" applyFill="1" applyBorder="1" applyAlignment="1" applyProtection="1">
      <alignment/>
      <protection hidden="1"/>
    </xf>
    <xf numFmtId="43" fontId="1" fillId="0" borderId="35" xfId="72" applyNumberFormat="1" applyFont="1" applyFill="1" applyBorder="1" applyAlignment="1" applyProtection="1">
      <alignment/>
      <protection hidden="1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39" xfId="72" applyFont="1" applyFill="1" applyBorder="1" applyAlignment="1" applyProtection="1">
      <alignment horizontal="left"/>
      <protection hidden="1"/>
    </xf>
    <xf numFmtId="43" fontId="1" fillId="0" borderId="47" xfId="72" applyNumberFormat="1" applyFont="1" applyFill="1" applyBorder="1" applyAlignment="1" applyProtection="1">
      <alignment/>
      <protection hidden="1"/>
    </xf>
    <xf numFmtId="9" fontId="55" fillId="0" borderId="39" xfId="108" applyFont="1" applyFill="1" applyBorder="1" applyAlignment="1" applyProtection="1">
      <alignment horizontal="center"/>
      <protection hidden="1"/>
    </xf>
    <xf numFmtId="43" fontId="1" fillId="0" borderId="48" xfId="72" applyNumberFormat="1" applyFont="1" applyFill="1" applyBorder="1" applyAlignment="1" applyProtection="1">
      <alignment/>
      <protection hidden="1"/>
    </xf>
    <xf numFmtId="43" fontId="1" fillId="0" borderId="39" xfId="72" applyNumberFormat="1" applyFont="1" applyFill="1" applyBorder="1" applyAlignment="1" applyProtection="1">
      <alignment/>
      <protection hidden="1"/>
    </xf>
    <xf numFmtId="43" fontId="1" fillId="0" borderId="40" xfId="72" applyNumberFormat="1" applyFont="1" applyFill="1" applyBorder="1" applyAlignment="1" applyProtection="1">
      <alignment/>
      <protection hidden="1"/>
    </xf>
    <xf numFmtId="0" fontId="53" fillId="0" borderId="31" xfId="0" applyFont="1" applyFill="1" applyBorder="1" applyAlignment="1">
      <alignment/>
    </xf>
    <xf numFmtId="0" fontId="54" fillId="0" borderId="0" xfId="84" applyFont="1">
      <alignment/>
      <protection/>
    </xf>
    <xf numFmtId="43" fontId="54" fillId="0" borderId="0" xfId="84" applyNumberFormat="1" applyFont="1">
      <alignment/>
      <protection/>
    </xf>
    <xf numFmtId="43" fontId="0" fillId="5" borderId="25" xfId="105" applyNumberFormat="1" applyFill="1" applyBorder="1" applyAlignment="1">
      <alignment horizontal="center"/>
      <protection/>
    </xf>
    <xf numFmtId="0" fontId="1" fillId="0" borderId="21" xfId="103" applyFont="1" applyBorder="1" applyAlignment="1">
      <alignment horizontal="center" vertical="center"/>
      <protection/>
    </xf>
    <xf numFmtId="0" fontId="1" fillId="0" borderId="14" xfId="103" applyFont="1" applyBorder="1" applyAlignment="1">
      <alignment horizontal="center" vertical="center"/>
      <protection/>
    </xf>
    <xf numFmtId="0" fontId="1" fillId="0" borderId="21" xfId="103" applyFont="1" applyBorder="1" applyAlignment="1">
      <alignment vertical="center" wrapText="1"/>
      <protection/>
    </xf>
    <xf numFmtId="0" fontId="1" fillId="0" borderId="14" xfId="103" applyFont="1" applyBorder="1" applyAlignment="1">
      <alignment vertical="center" wrapText="1"/>
      <protection/>
    </xf>
    <xf numFmtId="0" fontId="1" fillId="0" borderId="22" xfId="103" applyFont="1" applyBorder="1" applyAlignment="1">
      <alignment horizontal="center" vertical="center" textRotation="90" wrapText="1"/>
      <protection/>
    </xf>
    <xf numFmtId="0" fontId="1" fillId="0" borderId="23" xfId="103" applyFont="1" applyBorder="1" applyAlignment="1">
      <alignment horizontal="center" vertical="center" textRotation="90" wrapText="1"/>
      <protection/>
    </xf>
    <xf numFmtId="0" fontId="1" fillId="0" borderId="24" xfId="103" applyFont="1" applyBorder="1" applyAlignment="1">
      <alignment horizontal="center" vertical="center" textRotation="90" wrapText="1"/>
      <protection/>
    </xf>
    <xf numFmtId="0" fontId="1" fillId="0" borderId="11" xfId="103" applyFont="1" applyBorder="1" applyAlignment="1">
      <alignment horizontal="center" vertical="center"/>
      <protection/>
    </xf>
    <xf numFmtId="0" fontId="1" fillId="40" borderId="15" xfId="0" applyFont="1" applyFill="1" applyBorder="1" applyAlignment="1" applyProtection="1">
      <alignment horizontal="center"/>
      <protection hidden="1"/>
    </xf>
    <xf numFmtId="0" fontId="1" fillId="40" borderId="15" xfId="0" applyFont="1" applyFill="1" applyBorder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11" fillId="33" borderId="21" xfId="72" applyFont="1" applyFill="1" applyBorder="1" applyAlignment="1" applyProtection="1">
      <alignment horizontal="left" wrapText="1"/>
      <protection hidden="1"/>
    </xf>
    <xf numFmtId="0" fontId="0" fillId="0" borderId="11" xfId="72" applyBorder="1" applyAlignment="1">
      <alignment wrapText="1"/>
      <protection/>
    </xf>
    <xf numFmtId="0" fontId="11" fillId="33" borderId="11" xfId="72" applyFont="1" applyFill="1" applyBorder="1" applyAlignment="1" applyProtection="1">
      <alignment wrapText="1"/>
      <protection hidden="1"/>
    </xf>
    <xf numFmtId="0" fontId="1" fillId="34" borderId="21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left" wrapText="1"/>
    </xf>
    <xf numFmtId="0" fontId="1" fillId="34" borderId="21" xfId="72" applyFont="1" applyFill="1" applyBorder="1" applyAlignment="1" applyProtection="1">
      <alignment horizontal="left" wrapText="1" readingOrder="1"/>
      <protection hidden="1"/>
    </xf>
    <xf numFmtId="0" fontId="1" fillId="34" borderId="11" xfId="72" applyFont="1" applyFill="1" applyBorder="1" applyAlignment="1" applyProtection="1">
      <alignment horizontal="left" wrapText="1" readingOrder="1"/>
      <protection hidden="1"/>
    </xf>
    <xf numFmtId="0" fontId="1" fillId="34" borderId="14" xfId="72" applyFont="1" applyFill="1" applyBorder="1" applyAlignment="1" applyProtection="1">
      <alignment horizontal="left" wrapText="1" readingOrder="1"/>
      <protection hidden="1"/>
    </xf>
    <xf numFmtId="0" fontId="1" fillId="34" borderId="11" xfId="0" applyFont="1" applyFill="1" applyBorder="1" applyAlignment="1" applyProtection="1">
      <alignment horizontal="left" wrapText="1"/>
      <protection hidden="1"/>
    </xf>
    <xf numFmtId="0" fontId="1" fillId="34" borderId="14" xfId="0" applyFont="1" applyFill="1" applyBorder="1" applyAlignment="1" applyProtection="1">
      <alignment horizontal="left" wrapText="1"/>
      <protection hidden="1"/>
    </xf>
    <xf numFmtId="0" fontId="1" fillId="35" borderId="21" xfId="72" applyFont="1" applyFill="1" applyBorder="1" applyAlignment="1" applyProtection="1">
      <alignment horizontal="left" wrapText="1"/>
      <protection hidden="1"/>
    </xf>
    <xf numFmtId="0" fontId="1" fillId="35" borderId="11" xfId="72" applyFont="1" applyFill="1" applyBorder="1" applyAlignment="1" applyProtection="1">
      <alignment horizontal="left" wrapText="1"/>
      <protection hidden="1"/>
    </xf>
    <xf numFmtId="0" fontId="1" fillId="35" borderId="14" xfId="72" applyFont="1" applyFill="1" applyBorder="1" applyAlignment="1" applyProtection="1">
      <alignment horizontal="left" wrapText="1"/>
      <protection hidden="1"/>
    </xf>
    <xf numFmtId="164" fontId="1" fillId="35" borderId="21" xfId="72" applyNumberFormat="1" applyFont="1" applyFill="1" applyBorder="1" applyAlignment="1" applyProtection="1">
      <alignment horizontal="left" wrapText="1"/>
      <protection hidden="1"/>
    </xf>
    <xf numFmtId="164" fontId="1" fillId="35" borderId="11" xfId="72" applyNumberFormat="1" applyFont="1" applyFill="1" applyBorder="1" applyAlignment="1" applyProtection="1">
      <alignment horizontal="left" wrapText="1"/>
      <protection hidden="1"/>
    </xf>
    <xf numFmtId="164" fontId="1" fillId="35" borderId="14" xfId="72" applyNumberFormat="1" applyFont="1" applyFill="1" applyBorder="1" applyAlignment="1" applyProtection="1">
      <alignment horizontal="left" wrapText="1"/>
      <protection hidden="1"/>
    </xf>
    <xf numFmtId="0" fontId="54" fillId="0" borderId="0" xfId="84" applyFont="1" applyAlignment="1">
      <alignment horizontal="center"/>
      <protection/>
    </xf>
    <xf numFmtId="0" fontId="11" fillId="33" borderId="21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1" xfId="72" applyBorder="1" applyAlignment="1">
      <alignment horizontal="left" wrapText="1"/>
      <protection/>
    </xf>
    <xf numFmtId="0" fontId="0" fillId="0" borderId="14" xfId="72" applyBorder="1" applyAlignment="1">
      <alignment horizontal="left" wrapText="1"/>
      <protection/>
    </xf>
    <xf numFmtId="0" fontId="1" fillId="34" borderId="16" xfId="0" applyFont="1" applyFill="1" applyBorder="1" applyAlignment="1" applyProtection="1">
      <alignment horizontal="left" wrapText="1"/>
      <protection hidden="1"/>
    </xf>
    <xf numFmtId="0" fontId="1" fillId="34" borderId="15" xfId="0" applyFont="1" applyFill="1" applyBorder="1" applyAlignment="1" applyProtection="1">
      <alignment horizontal="left" wrapText="1"/>
      <protection hidden="1"/>
    </xf>
    <xf numFmtId="195" fontId="58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103" applyProtection="1">
      <alignment/>
      <protection locked="0"/>
    </xf>
    <xf numFmtId="195" fontId="58" fillId="0" borderId="31" xfId="76" applyNumberFormat="1" applyFont="1" applyFill="1" applyBorder="1" applyAlignment="1" applyProtection="1">
      <alignment horizontal="center"/>
      <protection locked="0"/>
    </xf>
    <xf numFmtId="43" fontId="55" fillId="12" borderId="26" xfId="103" applyNumberFormat="1" applyFont="1" applyFill="1" applyBorder="1" applyAlignment="1" applyProtection="1">
      <alignment horizontal="center"/>
      <protection locked="0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5 3" xfId="53"/>
    <cellStyle name="Comma 6" xfId="54"/>
    <cellStyle name="Comma 6 2" xfId="55"/>
    <cellStyle name="Currency" xfId="56"/>
    <cellStyle name="Currency [0]" xfId="57"/>
    <cellStyle name="Currency 2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Hyperlink 2 2" xfId="68"/>
    <cellStyle name="Input" xfId="69"/>
    <cellStyle name="Linked Cell" xfId="70"/>
    <cellStyle name="Neutral" xfId="71"/>
    <cellStyle name="Normal 2" xfId="72"/>
    <cellStyle name="Normal 2 2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2 3" xfId="85"/>
    <cellStyle name="Normal 3 2 4" xfId="86"/>
    <cellStyle name="Normal 3 2 4 2" xfId="87"/>
    <cellStyle name="Normal 3 2 4 3" xfId="88"/>
    <cellStyle name="Normal 3 2 5" xfId="89"/>
    <cellStyle name="Normal 3 3" xfId="90"/>
    <cellStyle name="Normal 3 4" xfId="91"/>
    <cellStyle name="Normal 3 5" xfId="92"/>
    <cellStyle name="Normal 3 6" xfId="93"/>
    <cellStyle name="Normal 4" xfId="94"/>
    <cellStyle name="Normal 4 2" xfId="95"/>
    <cellStyle name="Normal 4 2 2" xfId="96"/>
    <cellStyle name="Normal 4 2 3" xfId="97"/>
    <cellStyle name="Normal 4 3" xfId="98"/>
    <cellStyle name="Normal 5" xfId="99"/>
    <cellStyle name="Normal 5 2" xfId="100"/>
    <cellStyle name="Normal 5 3" xfId="101"/>
    <cellStyle name="Normal 5 4" xfId="102"/>
    <cellStyle name="Normal 6" xfId="103"/>
    <cellStyle name="Normal 6 2" xfId="104"/>
    <cellStyle name="Normal 6 3" xfId="105"/>
    <cellStyle name="Note" xfId="106"/>
    <cellStyle name="Output" xfId="107"/>
    <cellStyle name="Percent" xfId="108"/>
    <cellStyle name="Percent 2" xfId="109"/>
    <cellStyle name="Percent 2 2" xfId="110"/>
    <cellStyle name="Percent 2 3" xfId="111"/>
    <cellStyle name="Percent 2 3 2" xfId="112"/>
    <cellStyle name="Percent 2 3 3" xfId="113"/>
    <cellStyle name="Percent 2 3 4" xfId="114"/>
    <cellStyle name="Percent 2 4" xfId="115"/>
    <cellStyle name="Percent 2 5" xfId="116"/>
    <cellStyle name="Percent 3" xfId="117"/>
    <cellStyle name="Percent 3 2" xfId="118"/>
    <cellStyle name="Percent 4" xfId="119"/>
    <cellStyle name="Percent 4 2" xfId="120"/>
    <cellStyle name="Percent 5" xfId="121"/>
    <cellStyle name="Percent 5 2" xfId="122"/>
    <cellStyle name="Percent 5 2 2" xfId="123"/>
    <cellStyle name="Percent 5 2 3" xfId="124"/>
    <cellStyle name="Percent 5 3" xfId="125"/>
    <cellStyle name="Percent 5 3 2" xfId="126"/>
    <cellStyle name="Percent 6" xfId="127"/>
    <cellStyle name="Percent 6 2" xfId="128"/>
    <cellStyle name="Percent 7" xfId="129"/>
    <cellStyle name="Percent 7 2" xfId="130"/>
    <cellStyle name="Percent 7 3" xfId="131"/>
    <cellStyle name="Percent 7 4" xfId="132"/>
    <cellStyle name="Percent 8" xfId="133"/>
    <cellStyle name="Percent 8 2" xfId="134"/>
    <cellStyle name="Percent 9" xfId="135"/>
    <cellStyle name="Title" xfId="136"/>
    <cellStyle name="Total" xfId="137"/>
    <cellStyle name="Warning Text" xfId="138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57150</xdr:rowOff>
    </xdr:from>
    <xdr:to>
      <xdr:col>8</xdr:col>
      <xdr:colOff>657225</xdr:colOff>
      <xdr:row>2</xdr:row>
      <xdr:rowOff>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5715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8680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8680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152400</xdr:rowOff>
    </xdr:from>
    <xdr:to>
      <xdr:col>8</xdr:col>
      <xdr:colOff>657225</xdr:colOff>
      <xdr:row>1</xdr:row>
      <xdr:rowOff>180975</xdr:rowOff>
    </xdr:to>
    <xdr:pic>
      <xdr:nvPicPr>
        <xdr:cNvPr id="1" name="Picture 6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524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966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966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19050</xdr:rowOff>
    </xdr:from>
    <xdr:to>
      <xdr:col>8</xdr:col>
      <xdr:colOff>647700</xdr:colOff>
      <xdr:row>1</xdr:row>
      <xdr:rowOff>85725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905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966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966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76200</xdr:rowOff>
    </xdr:from>
    <xdr:to>
      <xdr:col>8</xdr:col>
      <xdr:colOff>676275</xdr:colOff>
      <xdr:row>1</xdr:row>
      <xdr:rowOff>142875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762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58</xdr:row>
      <xdr:rowOff>19050</xdr:rowOff>
    </xdr:from>
    <xdr:to>
      <xdr:col>0</xdr:col>
      <xdr:colOff>990600</xdr:colOff>
      <xdr:row>61</xdr:row>
      <xdr:rowOff>161925</xdr:rowOff>
    </xdr:to>
    <xdr:pic>
      <xdr:nvPicPr>
        <xdr:cNvPr id="2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6965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58</xdr:row>
      <xdr:rowOff>19050</xdr:rowOff>
    </xdr:from>
    <xdr:to>
      <xdr:col>0</xdr:col>
      <xdr:colOff>990600</xdr:colOff>
      <xdr:row>61</xdr:row>
      <xdr:rowOff>161925</xdr:rowOff>
    </xdr:to>
    <xdr:pic>
      <xdr:nvPicPr>
        <xdr:cNvPr id="3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6965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38100</xdr:rowOff>
    </xdr:from>
    <xdr:to>
      <xdr:col>8</xdr:col>
      <xdr:colOff>542925</xdr:colOff>
      <xdr:row>2</xdr:row>
      <xdr:rowOff>47625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810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95250</xdr:rowOff>
    </xdr:from>
    <xdr:to>
      <xdr:col>8</xdr:col>
      <xdr:colOff>704850</xdr:colOff>
      <xdr:row>1</xdr:row>
      <xdr:rowOff>152400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0</xdr:rowOff>
    </xdr:from>
    <xdr:to>
      <xdr:col>8</xdr:col>
      <xdr:colOff>657225</xdr:colOff>
      <xdr:row>1</xdr:row>
      <xdr:rowOff>66675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142875</xdr:rowOff>
    </xdr:from>
    <xdr:to>
      <xdr:col>8</xdr:col>
      <xdr:colOff>723900</xdr:colOff>
      <xdr:row>1</xdr:row>
      <xdr:rowOff>190500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428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19050</xdr:rowOff>
    </xdr:from>
    <xdr:to>
      <xdr:col>8</xdr:col>
      <xdr:colOff>704850</xdr:colOff>
      <xdr:row>1</xdr:row>
      <xdr:rowOff>95250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905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19050</xdr:rowOff>
    </xdr:from>
    <xdr:to>
      <xdr:col>0</xdr:col>
      <xdr:colOff>990600</xdr:colOff>
      <xdr:row>63</xdr:row>
      <xdr:rowOff>161925</xdr:rowOff>
    </xdr:to>
    <xdr:pic>
      <xdr:nvPicPr>
        <xdr:cNvPr id="2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394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19050</xdr:rowOff>
    </xdr:from>
    <xdr:to>
      <xdr:col>0</xdr:col>
      <xdr:colOff>990600</xdr:colOff>
      <xdr:row>63</xdr:row>
      <xdr:rowOff>161925</xdr:rowOff>
    </xdr:to>
    <xdr:pic>
      <xdr:nvPicPr>
        <xdr:cNvPr id="3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0394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SA-16-17%20Oostelike%20Hoeveld%20begroting%20Eastern%20Highveld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yse + Sensatiwiteitsanalise"/>
      <sheetName val="W-Mielie konvensioneel "/>
      <sheetName val="W-Roundup R mielies "/>
      <sheetName val="W-BT Mielies vermin till"/>
      <sheetName val="Stapelgeen Mielie"/>
      <sheetName val="Sojabone"/>
      <sheetName val="Sojabone verminderde bewerking"/>
      <sheetName val="Graansorghum"/>
      <sheetName val="Bes-mielies"/>
    </sheetNames>
    <sheetDataSet>
      <sheetData sheetId="2">
        <row r="9">
          <cell r="K9">
            <v>4.5</v>
          </cell>
        </row>
        <row r="10">
          <cell r="K10">
            <v>5</v>
          </cell>
        </row>
        <row r="11">
          <cell r="K11">
            <v>5.5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="70" zoomScaleNormal="70" zoomScalePageLayoutView="0" workbookViewId="0" topLeftCell="A1">
      <selection activeCell="B20" sqref="B20"/>
    </sheetView>
  </sheetViews>
  <sheetFormatPr defaultColWidth="9.140625" defaultRowHeight="12.75"/>
  <cols>
    <col min="1" max="1" width="52.421875" style="124" customWidth="1"/>
    <col min="2" max="2" width="21.7109375" style="124" customWidth="1"/>
    <col min="3" max="3" width="3.28125" style="124" customWidth="1"/>
    <col min="4" max="4" width="23.7109375" style="124" customWidth="1"/>
    <col min="5" max="12" width="10.7109375" style="124" customWidth="1"/>
    <col min="13" max="14" width="9.140625" style="124" customWidth="1"/>
    <col min="15" max="15" width="3.00390625" style="124" customWidth="1"/>
    <col min="16" max="16" width="22.7109375" style="124" customWidth="1"/>
    <col min="17" max="17" width="11.7109375" style="124" customWidth="1"/>
    <col min="18" max="26" width="9.421875" style="124" customWidth="1"/>
    <col min="27" max="16384" width="9.140625" style="124" customWidth="1"/>
  </cols>
  <sheetData>
    <row r="1" spans="1:14" s="125" customFormat="1" ht="28.5" customHeight="1">
      <c r="A1" s="123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25" customFormat="1" ht="13.5" customHeight="1">
      <c r="A2" s="126" t="s">
        <v>58</v>
      </c>
      <c r="B2" s="127">
        <v>42580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2" s="125" customFormat="1" ht="13.5" customHeight="1">
      <c r="A3" s="128" t="s">
        <v>59</v>
      </c>
      <c r="B3" s="129" t="s">
        <v>60</v>
      </c>
      <c r="C3" s="124"/>
      <c r="D3" s="130" t="s">
        <v>61</v>
      </c>
      <c r="E3" s="124"/>
      <c r="F3" s="124"/>
      <c r="G3" s="124"/>
      <c r="H3" s="124"/>
      <c r="I3" s="124"/>
      <c r="J3" s="124"/>
      <c r="K3" s="124"/>
      <c r="L3" s="124"/>
    </row>
    <row r="4" spans="1:12" s="125" customFormat="1" ht="13.5" customHeight="1">
      <c r="A4" s="238" t="s">
        <v>103</v>
      </c>
      <c r="B4" s="285">
        <v>2700</v>
      </c>
      <c r="C4" s="286"/>
      <c r="D4" s="287">
        <v>216</v>
      </c>
      <c r="E4" s="124"/>
      <c r="F4" s="124"/>
      <c r="G4" s="124"/>
      <c r="H4" s="124"/>
      <c r="I4" s="124"/>
      <c r="J4" s="124"/>
      <c r="K4" s="124"/>
      <c r="L4" s="124"/>
    </row>
    <row r="5" spans="1:14" s="125" customFormat="1" ht="13.5" customHeight="1">
      <c r="A5" s="238" t="s">
        <v>104</v>
      </c>
      <c r="B5" s="285">
        <v>6000</v>
      </c>
      <c r="C5" s="286"/>
      <c r="D5" s="287">
        <v>218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s="125" customFormat="1" ht="13.5" customHeight="1">
      <c r="A6" s="238" t="s">
        <v>105</v>
      </c>
      <c r="B6" s="285">
        <v>6200</v>
      </c>
      <c r="C6" s="286"/>
      <c r="D6" s="287">
        <v>63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s="125" customFormat="1" ht="13.5" customHeight="1">
      <c r="A7" s="238" t="s">
        <v>106</v>
      </c>
      <c r="B7" s="285">
        <v>3500</v>
      </c>
      <c r="C7" s="286"/>
      <c r="D7" s="287">
        <v>63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s="125" customFormat="1" ht="13.5" customHeight="1">
      <c r="A8" s="238" t="s">
        <v>107</v>
      </c>
      <c r="B8" s="285">
        <v>12000</v>
      </c>
      <c r="C8" s="286"/>
      <c r="D8" s="287">
        <v>63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s="125" customFormat="1" ht="13.5" customHeight="1">
      <c r="A9" s="238" t="s">
        <v>62</v>
      </c>
      <c r="B9" s="285">
        <v>8250</v>
      </c>
      <c r="C9" s="286"/>
      <c r="D9" s="286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125" customFormat="1" ht="13.5" customHeight="1">
      <c r="A10" s="238" t="s">
        <v>108</v>
      </c>
      <c r="B10" s="285">
        <v>4000</v>
      </c>
      <c r="C10" s="286"/>
      <c r="D10" s="286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s="125" customFormat="1" ht="13.5" customHeight="1">
      <c r="A11" s="238" t="s">
        <v>109</v>
      </c>
      <c r="B11" s="285">
        <v>1500</v>
      </c>
      <c r="C11" s="286"/>
      <c r="D11" s="286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s="134" customFormat="1" ht="13.5" customHeight="1">
      <c r="A12" s="13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125" customFormat="1" ht="13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s="125" customFormat="1" ht="13.5" customHeight="1" thickBot="1">
      <c r="A14" s="250" t="s">
        <v>99</v>
      </c>
      <c r="B14" s="250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26" ht="20.25" customHeight="1" thickBot="1">
      <c r="A15" s="135" t="s">
        <v>63</v>
      </c>
      <c r="B15" s="136"/>
      <c r="C15" s="137"/>
      <c r="D15" s="242" t="s">
        <v>64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3"/>
      <c r="P15" s="242" t="s">
        <v>65</v>
      </c>
      <c r="Q15" s="249"/>
      <c r="R15" s="249"/>
      <c r="S15" s="249"/>
      <c r="T15" s="249"/>
      <c r="U15" s="249"/>
      <c r="V15" s="249"/>
      <c r="W15" s="249"/>
      <c r="X15" s="249"/>
      <c r="Y15" s="249"/>
      <c r="Z15" s="243"/>
    </row>
    <row r="16" spans="1:26" ht="13.5" customHeight="1" thickBot="1">
      <c r="A16" s="138" t="s">
        <v>66</v>
      </c>
      <c r="B16" s="241">
        <f>INDEX('W-Roundup R mielies '!K9:M14,MATCH($B$20,RRopbrengspeil,0),2)</f>
        <v>6911.1646152097055</v>
      </c>
      <c r="C16" s="139"/>
      <c r="D16" s="140"/>
      <c r="E16" s="141"/>
      <c r="F16" s="142"/>
      <c r="G16" s="143"/>
      <c r="H16" s="142"/>
      <c r="I16" s="142"/>
      <c r="J16" s="142" t="s">
        <v>67</v>
      </c>
      <c r="K16" s="144"/>
      <c r="L16" s="142"/>
      <c r="M16" s="144"/>
      <c r="N16" s="142"/>
      <c r="P16" s="140"/>
      <c r="Q16" s="141"/>
      <c r="R16" s="142"/>
      <c r="S16" s="143"/>
      <c r="T16" s="142"/>
      <c r="U16" s="142"/>
      <c r="V16" s="142" t="s">
        <v>67</v>
      </c>
      <c r="W16" s="144"/>
      <c r="X16" s="142"/>
      <c r="Y16" s="144"/>
      <c r="Z16" s="142"/>
    </row>
    <row r="17" spans="1:26" ht="13.5" customHeight="1" thickBot="1">
      <c r="A17" s="145" t="s">
        <v>68</v>
      </c>
      <c r="B17" s="241">
        <f>INDEX('W-Roundup R mielies '!K9:M14,MATCH($B$20,RRopbrengspeil,0),3)</f>
        <v>2303.5742718094207</v>
      </c>
      <c r="C17" s="139"/>
      <c r="D17" s="242" t="s">
        <v>69</v>
      </c>
      <c r="E17" s="243"/>
      <c r="F17" s="146">
        <f>G17-250</f>
        <v>1700</v>
      </c>
      <c r="G17" s="146">
        <f>H17-250</f>
        <v>1950</v>
      </c>
      <c r="H17" s="146">
        <f>I17-250</f>
        <v>2200</v>
      </c>
      <c r="I17" s="146">
        <f>J17-250</f>
        <v>2450</v>
      </c>
      <c r="J17" s="147">
        <f>B22</f>
        <v>2700</v>
      </c>
      <c r="K17" s="146">
        <f>J17+250</f>
        <v>2950</v>
      </c>
      <c r="L17" s="146">
        <f>K17+250</f>
        <v>3200</v>
      </c>
      <c r="M17" s="146">
        <f>L17+250</f>
        <v>3450</v>
      </c>
      <c r="N17" s="146">
        <f>M17+250</f>
        <v>3700</v>
      </c>
      <c r="P17" s="242" t="s">
        <v>69</v>
      </c>
      <c r="Q17" s="243"/>
      <c r="R17" s="148">
        <f>S17-250</f>
        <v>1700</v>
      </c>
      <c r="S17" s="148">
        <f>T17-250</f>
        <v>1950</v>
      </c>
      <c r="T17" s="148">
        <f>U17-250</f>
        <v>2200</v>
      </c>
      <c r="U17" s="148">
        <f>V17-250</f>
        <v>2450</v>
      </c>
      <c r="V17" s="149">
        <f>J17</f>
        <v>2700</v>
      </c>
      <c r="W17" s="148">
        <f>V17+250</f>
        <v>2950</v>
      </c>
      <c r="X17" s="148">
        <f>W17+250</f>
        <v>3200</v>
      </c>
      <c r="Y17" s="148">
        <f>X17+250</f>
        <v>3450</v>
      </c>
      <c r="Z17" s="148">
        <f>Y17+250</f>
        <v>3700</v>
      </c>
    </row>
    <row r="18" spans="1:26" ht="13.5" customHeight="1" thickBot="1">
      <c r="A18" s="150" t="s">
        <v>70</v>
      </c>
      <c r="B18" s="151">
        <f>B17+B16</f>
        <v>9214.738887019126</v>
      </c>
      <c r="C18" s="152"/>
      <c r="D18" s="244" t="s">
        <v>71</v>
      </c>
      <c r="E18" s="245"/>
      <c r="F18" s="153">
        <f aca="true" t="shared" si="0" ref="F18:N18">F17-$B$23</f>
        <v>1484</v>
      </c>
      <c r="G18" s="153">
        <f t="shared" si="0"/>
        <v>1734</v>
      </c>
      <c r="H18" s="153">
        <f t="shared" si="0"/>
        <v>1984</v>
      </c>
      <c r="I18" s="153">
        <f t="shared" si="0"/>
        <v>2234</v>
      </c>
      <c r="J18" s="154">
        <f>J17-$B$23</f>
        <v>2484</v>
      </c>
      <c r="K18" s="153">
        <f t="shared" si="0"/>
        <v>2734</v>
      </c>
      <c r="L18" s="153">
        <f t="shared" si="0"/>
        <v>2984</v>
      </c>
      <c r="M18" s="153">
        <f t="shared" si="0"/>
        <v>3234</v>
      </c>
      <c r="N18" s="153">
        <f t="shared" si="0"/>
        <v>3484</v>
      </c>
      <c r="P18" s="244" t="s">
        <v>71</v>
      </c>
      <c r="Q18" s="245"/>
      <c r="R18" s="153">
        <f aca="true" t="shared" si="1" ref="R18:Z18">R17-$B$23</f>
        <v>1484</v>
      </c>
      <c r="S18" s="153">
        <f t="shared" si="1"/>
        <v>1734</v>
      </c>
      <c r="T18" s="153">
        <f t="shared" si="1"/>
        <v>1984</v>
      </c>
      <c r="U18" s="153">
        <f t="shared" si="1"/>
        <v>2234</v>
      </c>
      <c r="V18" s="155">
        <f t="shared" si="1"/>
        <v>2484</v>
      </c>
      <c r="W18" s="153">
        <f t="shared" si="1"/>
        <v>2734</v>
      </c>
      <c r="X18" s="153">
        <f t="shared" si="1"/>
        <v>2984</v>
      </c>
      <c r="Y18" s="153">
        <f t="shared" si="1"/>
        <v>3234</v>
      </c>
      <c r="Z18" s="153">
        <f t="shared" si="1"/>
        <v>3484</v>
      </c>
    </row>
    <row r="19" spans="1:26" ht="13.5" customHeight="1" thickBot="1">
      <c r="A19" s="156"/>
      <c r="B19" s="157"/>
      <c r="C19" s="139"/>
      <c r="D19" s="246" t="s">
        <v>72</v>
      </c>
      <c r="E19" s="158">
        <f>E20-0.5</f>
        <v>3</v>
      </c>
      <c r="F19" s="159">
        <f>F$18-($B$18/$E19)</f>
        <v>-1587.5796290063754</v>
      </c>
      <c r="G19" s="160">
        <f aca="true" t="shared" si="2" ref="F19:N23">G$18-($B$18/$E19)</f>
        <v>-1337.5796290063754</v>
      </c>
      <c r="H19" s="160">
        <f t="shared" si="2"/>
        <v>-1087.5796290063754</v>
      </c>
      <c r="I19" s="160">
        <f t="shared" si="2"/>
        <v>-837.5796290063754</v>
      </c>
      <c r="J19" s="160">
        <f t="shared" si="2"/>
        <v>-587.5796290063754</v>
      </c>
      <c r="K19" s="160">
        <f t="shared" si="2"/>
        <v>-337.5796290063754</v>
      </c>
      <c r="L19" s="160">
        <f t="shared" si="2"/>
        <v>-87.5796290063754</v>
      </c>
      <c r="M19" s="161">
        <f t="shared" si="2"/>
        <v>162.4203709936246</v>
      </c>
      <c r="N19" s="162">
        <f t="shared" si="2"/>
        <v>412.4203709936246</v>
      </c>
      <c r="P19" s="246" t="s">
        <v>72</v>
      </c>
      <c r="Q19" s="158">
        <f>Q20-0.5</f>
        <v>3</v>
      </c>
      <c r="R19" s="159">
        <f>R$18-($B$16/$E19)</f>
        <v>-819.7215384032352</v>
      </c>
      <c r="S19" s="159">
        <f aca="true" t="shared" si="3" ref="S19:Z23">S$18-($B$16/$E19)</f>
        <v>-569.7215384032352</v>
      </c>
      <c r="T19" s="159">
        <f t="shared" si="3"/>
        <v>-319.7215384032352</v>
      </c>
      <c r="U19" s="159">
        <f t="shared" si="3"/>
        <v>-69.72153840323517</v>
      </c>
      <c r="V19" s="159">
        <f t="shared" si="3"/>
        <v>180.27846159676483</v>
      </c>
      <c r="W19" s="159">
        <f t="shared" si="3"/>
        <v>430.2784615967648</v>
      </c>
      <c r="X19" s="159">
        <f t="shared" si="3"/>
        <v>680.2784615967648</v>
      </c>
      <c r="Y19" s="159">
        <f t="shared" si="3"/>
        <v>930.2784615967648</v>
      </c>
      <c r="Z19" s="159">
        <f t="shared" si="3"/>
        <v>1180.2784615967648</v>
      </c>
    </row>
    <row r="20" spans="1:26" ht="13.5" customHeight="1" thickBot="1">
      <c r="A20" s="163" t="s">
        <v>73</v>
      </c>
      <c r="B20" s="288">
        <f>'W-Roundup R mielies '!G5</f>
        <v>4</v>
      </c>
      <c r="C20" s="139"/>
      <c r="D20" s="247"/>
      <c r="E20" s="158">
        <f>E21-0.5</f>
        <v>3.5</v>
      </c>
      <c r="F20" s="164">
        <f t="shared" si="2"/>
        <v>-1148.7825391483216</v>
      </c>
      <c r="G20" s="165">
        <f t="shared" si="2"/>
        <v>-898.7825391483216</v>
      </c>
      <c r="H20" s="165">
        <f t="shared" si="2"/>
        <v>-648.7825391483216</v>
      </c>
      <c r="I20" s="165">
        <f t="shared" si="2"/>
        <v>-398.7825391483216</v>
      </c>
      <c r="J20" s="165">
        <f t="shared" si="2"/>
        <v>-148.78253914832158</v>
      </c>
      <c r="K20" s="166">
        <f t="shared" si="2"/>
        <v>101.21746085167842</v>
      </c>
      <c r="L20" s="166">
        <f t="shared" si="2"/>
        <v>351.2174608516784</v>
      </c>
      <c r="M20" s="166">
        <f t="shared" si="2"/>
        <v>601.2174608516784</v>
      </c>
      <c r="N20" s="167">
        <f t="shared" si="2"/>
        <v>851.2174608516784</v>
      </c>
      <c r="P20" s="247"/>
      <c r="Q20" s="158">
        <f>Q21-0.5</f>
        <v>3.5</v>
      </c>
      <c r="R20" s="159">
        <f>R$18-($B$16/$E20)</f>
        <v>-490.61846148848736</v>
      </c>
      <c r="S20" s="159">
        <f t="shared" si="3"/>
        <v>-240.61846148848736</v>
      </c>
      <c r="T20" s="159">
        <f t="shared" si="3"/>
        <v>9.381538511512645</v>
      </c>
      <c r="U20" s="159">
        <f t="shared" si="3"/>
        <v>259.38153851151264</v>
      </c>
      <c r="V20" s="159">
        <f t="shared" si="3"/>
        <v>509.38153851151264</v>
      </c>
      <c r="W20" s="159">
        <f t="shared" si="3"/>
        <v>759.3815385115126</v>
      </c>
      <c r="X20" s="159">
        <f t="shared" si="3"/>
        <v>1009.3815385115126</v>
      </c>
      <c r="Y20" s="159">
        <f t="shared" si="3"/>
        <v>1259.3815385115126</v>
      </c>
      <c r="Z20" s="159">
        <f t="shared" si="3"/>
        <v>1509.3815385115126</v>
      </c>
    </row>
    <row r="21" spans="1:26" ht="13.5" customHeight="1" thickBot="1">
      <c r="A21" s="156"/>
      <c r="B21" s="157"/>
      <c r="C21" s="139"/>
      <c r="D21" s="247"/>
      <c r="E21" s="168">
        <f>B20</f>
        <v>4</v>
      </c>
      <c r="F21" s="164">
        <f t="shared" si="2"/>
        <v>-819.6847217547815</v>
      </c>
      <c r="G21" s="165">
        <f t="shared" si="2"/>
        <v>-569.6847217547815</v>
      </c>
      <c r="H21" s="165">
        <f t="shared" si="2"/>
        <v>-319.68472175478155</v>
      </c>
      <c r="I21" s="165">
        <f t="shared" si="2"/>
        <v>-69.68472175478155</v>
      </c>
      <c r="J21" s="166">
        <f t="shared" si="2"/>
        <v>180.31527824521845</v>
      </c>
      <c r="K21" s="166">
        <f t="shared" si="2"/>
        <v>430.31527824521845</v>
      </c>
      <c r="L21" s="166">
        <f t="shared" si="2"/>
        <v>680.3152782452185</v>
      </c>
      <c r="M21" s="166">
        <f t="shared" si="2"/>
        <v>930.3152782452185</v>
      </c>
      <c r="N21" s="167">
        <f t="shared" si="2"/>
        <v>1180.3152782452185</v>
      </c>
      <c r="P21" s="247"/>
      <c r="Q21" s="168">
        <f>E21</f>
        <v>4</v>
      </c>
      <c r="R21" s="159">
        <f>R$18-($B$16/$E21)</f>
        <v>-243.79115380242638</v>
      </c>
      <c r="S21" s="159">
        <f t="shared" si="3"/>
        <v>6.208846197573621</v>
      </c>
      <c r="T21" s="159">
        <f t="shared" si="3"/>
        <v>256.2088461975736</v>
      </c>
      <c r="U21" s="159">
        <f t="shared" si="3"/>
        <v>506.2088461975736</v>
      </c>
      <c r="V21" s="159">
        <f t="shared" si="3"/>
        <v>756.2088461975736</v>
      </c>
      <c r="W21" s="159">
        <f t="shared" si="3"/>
        <v>1006.2088461975736</v>
      </c>
      <c r="X21" s="159">
        <f t="shared" si="3"/>
        <v>1256.2088461975736</v>
      </c>
      <c r="Y21" s="159">
        <f t="shared" si="3"/>
        <v>1506.2088461975736</v>
      </c>
      <c r="Z21" s="159">
        <f t="shared" si="3"/>
        <v>1756.2088461975736</v>
      </c>
    </row>
    <row r="22" spans="1:26" ht="13.5" customHeight="1" thickBot="1">
      <c r="A22" s="169" t="s">
        <v>74</v>
      </c>
      <c r="B22" s="170">
        <f>$B$4</f>
        <v>2700</v>
      </c>
      <c r="C22" s="139"/>
      <c r="D22" s="247"/>
      <c r="E22" s="158">
        <f>E21+0.5</f>
        <v>4.5</v>
      </c>
      <c r="F22" s="164">
        <f t="shared" si="2"/>
        <v>-563.7197526709169</v>
      </c>
      <c r="G22" s="165">
        <f t="shared" si="2"/>
        <v>-313.71975267091693</v>
      </c>
      <c r="H22" s="165">
        <f t="shared" si="2"/>
        <v>-63.71975267091693</v>
      </c>
      <c r="I22" s="166">
        <f t="shared" si="2"/>
        <v>186.28024732908307</v>
      </c>
      <c r="J22" s="166">
        <f t="shared" si="2"/>
        <v>436.28024732908307</v>
      </c>
      <c r="K22" s="166">
        <f t="shared" si="2"/>
        <v>686.2802473290831</v>
      </c>
      <c r="L22" s="166">
        <f t="shared" si="2"/>
        <v>936.2802473290831</v>
      </c>
      <c r="M22" s="166">
        <f t="shared" si="2"/>
        <v>1186.280247329083</v>
      </c>
      <c r="N22" s="167">
        <f t="shared" si="2"/>
        <v>1436.280247329083</v>
      </c>
      <c r="P22" s="247"/>
      <c r="Q22" s="158">
        <f>Q21+0.5</f>
        <v>4.5</v>
      </c>
      <c r="R22" s="159">
        <f>R$18-($B$16/$E22)</f>
        <v>-51.81435893549019</v>
      </c>
      <c r="S22" s="159">
        <f t="shared" si="3"/>
        <v>198.1856410645098</v>
      </c>
      <c r="T22" s="159">
        <f t="shared" si="3"/>
        <v>448.1856410645098</v>
      </c>
      <c r="U22" s="159">
        <f t="shared" si="3"/>
        <v>698.1856410645098</v>
      </c>
      <c r="V22" s="159">
        <f t="shared" si="3"/>
        <v>948.1856410645098</v>
      </c>
      <c r="W22" s="159">
        <f t="shared" si="3"/>
        <v>1198.1856410645098</v>
      </c>
      <c r="X22" s="159">
        <f t="shared" si="3"/>
        <v>1448.1856410645098</v>
      </c>
      <c r="Y22" s="159">
        <f t="shared" si="3"/>
        <v>1698.1856410645098</v>
      </c>
      <c r="Z22" s="159">
        <f t="shared" si="3"/>
        <v>1948.1856410645098</v>
      </c>
    </row>
    <row r="23" spans="1:26" ht="13.5" customHeight="1" thickBot="1">
      <c r="A23" s="171" t="s">
        <v>75</v>
      </c>
      <c r="B23" s="170">
        <f>D4</f>
        <v>216</v>
      </c>
      <c r="C23" s="139"/>
      <c r="D23" s="248"/>
      <c r="E23" s="158">
        <f>E22+0.5</f>
        <v>5</v>
      </c>
      <c r="F23" s="172">
        <f t="shared" si="2"/>
        <v>-358.9477774038253</v>
      </c>
      <c r="G23" s="173">
        <f>G$18-($B$18/$E23)</f>
        <v>-108.94777740382528</v>
      </c>
      <c r="H23" s="174">
        <f t="shared" si="2"/>
        <v>141.05222259617472</v>
      </c>
      <c r="I23" s="174">
        <f t="shared" si="2"/>
        <v>391.0522225961747</v>
      </c>
      <c r="J23" s="174">
        <f t="shared" si="2"/>
        <v>641.0522225961747</v>
      </c>
      <c r="K23" s="174">
        <f t="shared" si="2"/>
        <v>891.0522225961747</v>
      </c>
      <c r="L23" s="174">
        <f t="shared" si="2"/>
        <v>1141.0522225961747</v>
      </c>
      <c r="M23" s="174">
        <f t="shared" si="2"/>
        <v>1391.0522225961747</v>
      </c>
      <c r="N23" s="175">
        <f t="shared" si="2"/>
        <v>1641.0522225961747</v>
      </c>
      <c r="P23" s="248"/>
      <c r="Q23" s="158">
        <f>Q22+0.5</f>
        <v>5</v>
      </c>
      <c r="R23" s="159">
        <f>R$18-($B$16/$E23)</f>
        <v>101.76707695805885</v>
      </c>
      <c r="S23" s="159">
        <f>S$18-($B$16/$E23)</f>
        <v>351.76707695805885</v>
      </c>
      <c r="T23" s="159">
        <f t="shared" si="3"/>
        <v>601.7670769580589</v>
      </c>
      <c r="U23" s="159">
        <f t="shared" si="3"/>
        <v>851.7670769580589</v>
      </c>
      <c r="V23" s="159">
        <f t="shared" si="3"/>
        <v>1101.7670769580589</v>
      </c>
      <c r="W23" s="159">
        <f t="shared" si="3"/>
        <v>1351.7670769580589</v>
      </c>
      <c r="X23" s="159">
        <f t="shared" si="3"/>
        <v>1601.7670769580589</v>
      </c>
      <c r="Y23" s="159">
        <f t="shared" si="3"/>
        <v>1851.7670769580589</v>
      </c>
      <c r="Z23" s="159">
        <f t="shared" si="3"/>
        <v>2101.767076958059</v>
      </c>
    </row>
    <row r="24" spans="1:24" ht="13.5" customHeight="1" thickBot="1">
      <c r="A24" s="176" t="s">
        <v>76</v>
      </c>
      <c r="B24" s="177">
        <f>B22-B23</f>
        <v>2484</v>
      </c>
      <c r="C24" s="139"/>
      <c r="D24" s="178"/>
      <c r="E24" s="179"/>
      <c r="F24" s="180"/>
      <c r="G24" s="180"/>
      <c r="H24" s="180"/>
      <c r="I24" s="180"/>
      <c r="J24" s="180"/>
      <c r="K24" s="180"/>
      <c r="L24" s="180"/>
      <c r="P24" s="178"/>
      <c r="Q24" s="179"/>
      <c r="R24" s="180"/>
      <c r="S24" s="180"/>
      <c r="T24" s="180"/>
      <c r="U24" s="180"/>
      <c r="V24" s="180"/>
      <c r="W24" s="180"/>
      <c r="X24" s="180"/>
    </row>
    <row r="25" spans="1:24" s="133" customFormat="1" ht="13.5" customHeight="1">
      <c r="A25" s="181"/>
      <c r="B25" s="182"/>
      <c r="C25" s="183"/>
      <c r="D25" s="184"/>
      <c r="E25" s="185"/>
      <c r="F25" s="180"/>
      <c r="G25" s="180"/>
      <c r="H25" s="180"/>
      <c r="I25" s="180"/>
      <c r="J25" s="180"/>
      <c r="K25" s="180"/>
      <c r="L25" s="180"/>
      <c r="P25" s="184"/>
      <c r="Q25" s="185"/>
      <c r="R25" s="180"/>
      <c r="S25" s="180"/>
      <c r="T25" s="180"/>
      <c r="U25" s="180"/>
      <c r="V25" s="180"/>
      <c r="W25" s="180"/>
      <c r="X25" s="180"/>
    </row>
    <row r="26" spans="1:24" ht="13.5" customHeight="1">
      <c r="A26" s="181"/>
      <c r="B26" s="182"/>
      <c r="C26" s="139"/>
      <c r="D26" s="178"/>
      <c r="E26" s="179"/>
      <c r="F26" s="180"/>
      <c r="G26" s="180"/>
      <c r="H26" s="180"/>
      <c r="I26" s="180"/>
      <c r="J26" s="180"/>
      <c r="K26" s="180"/>
      <c r="L26" s="180"/>
      <c r="P26" s="178"/>
      <c r="Q26" s="179"/>
      <c r="R26" s="180"/>
      <c r="S26" s="180"/>
      <c r="T26" s="180"/>
      <c r="U26" s="180"/>
      <c r="V26" s="180"/>
      <c r="W26" s="180"/>
      <c r="X26" s="180"/>
    </row>
    <row r="27" spans="1:14" s="125" customFormat="1" ht="13.5" customHeight="1" thickBot="1">
      <c r="A27" s="250" t="s">
        <v>100</v>
      </c>
      <c r="B27" s="250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26" ht="20.25" customHeight="1" thickBot="1">
      <c r="A28" s="135" t="s">
        <v>63</v>
      </c>
      <c r="B28" s="136"/>
      <c r="C28" s="137"/>
      <c r="D28" s="242" t="s">
        <v>64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3"/>
      <c r="P28" s="242" t="s">
        <v>65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3"/>
    </row>
    <row r="29" spans="1:26" ht="13.5" customHeight="1" thickBot="1">
      <c r="A29" s="138" t="s">
        <v>66</v>
      </c>
      <c r="B29" s="241">
        <f>INDEX('W-BT Mielies'!K9:M14,MATCH($B$33,BTpbrengspeil,0),2)</f>
        <v>7213.033765082191</v>
      </c>
      <c r="C29" s="139"/>
      <c r="D29" s="140"/>
      <c r="E29" s="141"/>
      <c r="F29" s="142"/>
      <c r="G29" s="143"/>
      <c r="H29" s="142"/>
      <c r="I29" s="142"/>
      <c r="J29" s="142" t="s">
        <v>67</v>
      </c>
      <c r="K29" s="144"/>
      <c r="L29" s="142"/>
      <c r="M29" s="144"/>
      <c r="N29" s="142"/>
      <c r="P29" s="140"/>
      <c r="Q29" s="141"/>
      <c r="R29" s="142"/>
      <c r="S29" s="143"/>
      <c r="T29" s="142"/>
      <c r="U29" s="142"/>
      <c r="V29" s="142" t="s">
        <v>67</v>
      </c>
      <c r="W29" s="144"/>
      <c r="X29" s="142"/>
      <c r="Y29" s="144"/>
      <c r="Z29" s="142"/>
    </row>
    <row r="30" spans="1:26" ht="13.5" customHeight="1" thickBot="1">
      <c r="A30" s="145" t="s">
        <v>68</v>
      </c>
      <c r="B30" s="241">
        <f>INDEX('W-BT Mielies'!K10:M15,MATCH($B$33,BTpbrengspeil,0),3)</f>
        <v>2303.5742718094207</v>
      </c>
      <c r="C30" s="139"/>
      <c r="D30" s="242" t="s">
        <v>69</v>
      </c>
      <c r="E30" s="243"/>
      <c r="F30" s="146">
        <f>G30-250</f>
        <v>1700</v>
      </c>
      <c r="G30" s="146">
        <f>H30-250</f>
        <v>1950</v>
      </c>
      <c r="H30" s="146">
        <f>I30-250</f>
        <v>2200</v>
      </c>
      <c r="I30" s="146">
        <f>J30-250</f>
        <v>2450</v>
      </c>
      <c r="J30" s="147">
        <f>B35</f>
        <v>2700</v>
      </c>
      <c r="K30" s="146">
        <f>J30+250</f>
        <v>2950</v>
      </c>
      <c r="L30" s="146">
        <f>K30+250</f>
        <v>3200</v>
      </c>
      <c r="M30" s="146">
        <f>L30+250</f>
        <v>3450</v>
      </c>
      <c r="N30" s="146">
        <f>M30+250</f>
        <v>3700</v>
      </c>
      <c r="P30" s="242" t="s">
        <v>69</v>
      </c>
      <c r="Q30" s="243"/>
      <c r="R30" s="148">
        <f>S30-250</f>
        <v>1700</v>
      </c>
      <c r="S30" s="148">
        <f>T30-250</f>
        <v>1950</v>
      </c>
      <c r="T30" s="148">
        <f>U30-250</f>
        <v>2200</v>
      </c>
      <c r="U30" s="148">
        <f>V30-250</f>
        <v>2450</v>
      </c>
      <c r="V30" s="149">
        <f>J30</f>
        <v>2700</v>
      </c>
      <c r="W30" s="148">
        <f>V30+250</f>
        <v>2950</v>
      </c>
      <c r="X30" s="148">
        <f>W30+250</f>
        <v>3200</v>
      </c>
      <c r="Y30" s="148">
        <f>X30+250</f>
        <v>3450</v>
      </c>
      <c r="Z30" s="148">
        <f>Y30+250</f>
        <v>3700</v>
      </c>
    </row>
    <row r="31" spans="1:26" ht="13.5" customHeight="1" thickBot="1">
      <c r="A31" s="150" t="s">
        <v>70</v>
      </c>
      <c r="B31" s="151">
        <f>B30+B29</f>
        <v>9516.608036891612</v>
      </c>
      <c r="C31" s="152"/>
      <c r="D31" s="244" t="s">
        <v>71</v>
      </c>
      <c r="E31" s="245"/>
      <c r="F31" s="153">
        <f aca="true" t="shared" si="4" ref="F31:N31">F30-$B$23</f>
        <v>1484</v>
      </c>
      <c r="G31" s="153">
        <f t="shared" si="4"/>
        <v>1734</v>
      </c>
      <c r="H31" s="153">
        <f t="shared" si="4"/>
        <v>1984</v>
      </c>
      <c r="I31" s="153">
        <f t="shared" si="4"/>
        <v>2234</v>
      </c>
      <c r="J31" s="154">
        <f>J30-$B$23</f>
        <v>2484</v>
      </c>
      <c r="K31" s="153">
        <f t="shared" si="4"/>
        <v>2734</v>
      </c>
      <c r="L31" s="153">
        <f t="shared" si="4"/>
        <v>2984</v>
      </c>
      <c r="M31" s="153">
        <f t="shared" si="4"/>
        <v>3234</v>
      </c>
      <c r="N31" s="153">
        <f t="shared" si="4"/>
        <v>3484</v>
      </c>
      <c r="P31" s="244" t="s">
        <v>71</v>
      </c>
      <c r="Q31" s="245"/>
      <c r="R31" s="153">
        <f aca="true" t="shared" si="5" ref="R31:Z31">R30-$B$23</f>
        <v>1484</v>
      </c>
      <c r="S31" s="153">
        <f t="shared" si="5"/>
        <v>1734</v>
      </c>
      <c r="T31" s="153">
        <f t="shared" si="5"/>
        <v>1984</v>
      </c>
      <c r="U31" s="153">
        <f t="shared" si="5"/>
        <v>2234</v>
      </c>
      <c r="V31" s="155">
        <f t="shared" si="5"/>
        <v>2484</v>
      </c>
      <c r="W31" s="153">
        <f t="shared" si="5"/>
        <v>2734</v>
      </c>
      <c r="X31" s="153">
        <f t="shared" si="5"/>
        <v>2984</v>
      </c>
      <c r="Y31" s="153">
        <f t="shared" si="5"/>
        <v>3234</v>
      </c>
      <c r="Z31" s="153">
        <f t="shared" si="5"/>
        <v>3484</v>
      </c>
    </row>
    <row r="32" spans="1:26" ht="13.5" customHeight="1" thickBot="1">
      <c r="A32" s="156"/>
      <c r="B32" s="157"/>
      <c r="C32" s="139"/>
      <c r="D32" s="246" t="s">
        <v>72</v>
      </c>
      <c r="E32" s="158">
        <f>E33-0.5</f>
        <v>3</v>
      </c>
      <c r="F32" s="159">
        <f aca="true" t="shared" si="6" ref="F32:N36">F$18-($B$31/$E32)</f>
        <v>-1688.2026789638708</v>
      </c>
      <c r="G32" s="159">
        <f t="shared" si="6"/>
        <v>-1438.2026789638708</v>
      </c>
      <c r="H32" s="159">
        <f t="shared" si="6"/>
        <v>-1188.2026789638708</v>
      </c>
      <c r="I32" s="159">
        <f t="shared" si="6"/>
        <v>-938.2026789638708</v>
      </c>
      <c r="J32" s="159">
        <f t="shared" si="6"/>
        <v>-688.2026789638708</v>
      </c>
      <c r="K32" s="159">
        <f t="shared" si="6"/>
        <v>-438.20267896387077</v>
      </c>
      <c r="L32" s="159">
        <f t="shared" si="6"/>
        <v>-188.20267896387077</v>
      </c>
      <c r="M32" s="159">
        <f t="shared" si="6"/>
        <v>61.79732103612923</v>
      </c>
      <c r="N32" s="159">
        <f t="shared" si="6"/>
        <v>311.79732103612923</v>
      </c>
      <c r="P32" s="246" t="s">
        <v>72</v>
      </c>
      <c r="Q32" s="158">
        <f>Q33-0.5</f>
        <v>3</v>
      </c>
      <c r="R32" s="159">
        <f>R$18-($B$29/$E32)</f>
        <v>-920.3445883607305</v>
      </c>
      <c r="S32" s="159">
        <f aca="true" t="shared" si="7" ref="S32:Z36">S$18-($B$29/$E32)</f>
        <v>-670.3445883607305</v>
      </c>
      <c r="T32" s="159">
        <f t="shared" si="7"/>
        <v>-420.34458836073054</v>
      </c>
      <c r="U32" s="159">
        <f t="shared" si="7"/>
        <v>-170.34458836073054</v>
      </c>
      <c r="V32" s="159">
        <f t="shared" si="7"/>
        <v>79.65541163926946</v>
      </c>
      <c r="W32" s="159">
        <f t="shared" si="7"/>
        <v>329.65541163926946</v>
      </c>
      <c r="X32" s="159">
        <f t="shared" si="7"/>
        <v>579.6554116392695</v>
      </c>
      <c r="Y32" s="159">
        <f t="shared" si="7"/>
        <v>829.6554116392695</v>
      </c>
      <c r="Z32" s="159">
        <f t="shared" si="7"/>
        <v>1079.6554116392695</v>
      </c>
    </row>
    <row r="33" spans="1:26" ht="13.5" customHeight="1" thickBot="1">
      <c r="A33" s="163" t="s">
        <v>73</v>
      </c>
      <c r="B33" s="288">
        <f>'W-BT Mielies'!G5</f>
        <v>4</v>
      </c>
      <c r="C33" s="139"/>
      <c r="D33" s="247"/>
      <c r="E33" s="158">
        <f>E34-0.5</f>
        <v>3.5</v>
      </c>
      <c r="F33" s="159">
        <f t="shared" si="6"/>
        <v>-1235.0308676833179</v>
      </c>
      <c r="G33" s="159">
        <f t="shared" si="6"/>
        <v>-985.0308676833179</v>
      </c>
      <c r="H33" s="159">
        <f t="shared" si="6"/>
        <v>-735.0308676833179</v>
      </c>
      <c r="I33" s="159">
        <f t="shared" si="6"/>
        <v>-485.03086768331787</v>
      </c>
      <c r="J33" s="159">
        <f t="shared" si="6"/>
        <v>-235.03086768331787</v>
      </c>
      <c r="K33" s="159">
        <f t="shared" si="6"/>
        <v>14.969132316682135</v>
      </c>
      <c r="L33" s="159">
        <f t="shared" si="6"/>
        <v>264.96913231668213</v>
      </c>
      <c r="M33" s="159">
        <f t="shared" si="6"/>
        <v>514.9691323166821</v>
      </c>
      <c r="N33" s="159">
        <f t="shared" si="6"/>
        <v>764.9691323166821</v>
      </c>
      <c r="P33" s="247"/>
      <c r="Q33" s="158">
        <f>Q34-0.5</f>
        <v>3.5</v>
      </c>
      <c r="R33" s="159">
        <f>R$18-($B$29/$E33)</f>
        <v>-576.8667900234832</v>
      </c>
      <c r="S33" s="159">
        <f t="shared" si="7"/>
        <v>-326.8667900234832</v>
      </c>
      <c r="T33" s="159">
        <f t="shared" si="7"/>
        <v>-76.86679002348319</v>
      </c>
      <c r="U33" s="159">
        <f t="shared" si="7"/>
        <v>173.1332099765168</v>
      </c>
      <c r="V33" s="159">
        <f t="shared" si="7"/>
        <v>423.1332099765168</v>
      </c>
      <c r="W33" s="159">
        <f t="shared" si="7"/>
        <v>673.1332099765168</v>
      </c>
      <c r="X33" s="159">
        <f t="shared" si="7"/>
        <v>923.1332099765168</v>
      </c>
      <c r="Y33" s="159">
        <f t="shared" si="7"/>
        <v>1173.1332099765168</v>
      </c>
      <c r="Z33" s="159">
        <f t="shared" si="7"/>
        <v>1423.1332099765168</v>
      </c>
    </row>
    <row r="34" spans="1:26" ht="13.5" customHeight="1" thickBot="1">
      <c r="A34" s="156"/>
      <c r="B34" s="157"/>
      <c r="C34" s="139"/>
      <c r="D34" s="247"/>
      <c r="E34" s="168">
        <f>B33</f>
        <v>4</v>
      </c>
      <c r="F34" s="159">
        <f t="shared" si="6"/>
        <v>-895.152009222903</v>
      </c>
      <c r="G34" s="159">
        <f t="shared" si="6"/>
        <v>-645.152009222903</v>
      </c>
      <c r="H34" s="159">
        <f t="shared" si="6"/>
        <v>-395.15200922290296</v>
      </c>
      <c r="I34" s="159">
        <f t="shared" si="6"/>
        <v>-145.15200922290296</v>
      </c>
      <c r="J34" s="159">
        <f t="shared" si="6"/>
        <v>104.84799077709704</v>
      </c>
      <c r="K34" s="159">
        <f t="shared" si="6"/>
        <v>354.84799077709704</v>
      </c>
      <c r="L34" s="159">
        <f t="shared" si="6"/>
        <v>604.847990777097</v>
      </c>
      <c r="M34" s="159">
        <f t="shared" si="6"/>
        <v>854.847990777097</v>
      </c>
      <c r="N34" s="159">
        <f t="shared" si="6"/>
        <v>1104.847990777097</v>
      </c>
      <c r="P34" s="247"/>
      <c r="Q34" s="168">
        <f>E34</f>
        <v>4</v>
      </c>
      <c r="R34" s="159">
        <f>R$18-($B$29/$E34)</f>
        <v>-319.2584412705478</v>
      </c>
      <c r="S34" s="159">
        <f t="shared" si="7"/>
        <v>-69.25844127054779</v>
      </c>
      <c r="T34" s="159">
        <f t="shared" si="7"/>
        <v>180.7415587294522</v>
      </c>
      <c r="U34" s="159">
        <f t="shared" si="7"/>
        <v>430.7415587294522</v>
      </c>
      <c r="V34" s="159">
        <f t="shared" si="7"/>
        <v>680.7415587294522</v>
      </c>
      <c r="W34" s="159">
        <f t="shared" si="7"/>
        <v>930.7415587294522</v>
      </c>
      <c r="X34" s="159">
        <f t="shared" si="7"/>
        <v>1180.7415587294522</v>
      </c>
      <c r="Y34" s="159">
        <f t="shared" si="7"/>
        <v>1430.7415587294522</v>
      </c>
      <c r="Z34" s="159">
        <f t="shared" si="7"/>
        <v>1680.7415587294522</v>
      </c>
    </row>
    <row r="35" spans="1:26" ht="13.5" customHeight="1" thickBot="1">
      <c r="A35" s="169" t="s">
        <v>74</v>
      </c>
      <c r="B35" s="170">
        <f>B4</f>
        <v>2700</v>
      </c>
      <c r="C35" s="139"/>
      <c r="D35" s="247"/>
      <c r="E35" s="158">
        <f>E34+0.5</f>
        <v>4.5</v>
      </c>
      <c r="F35" s="159">
        <f t="shared" si="6"/>
        <v>-630.8017859759138</v>
      </c>
      <c r="G35" s="159">
        <f t="shared" si="6"/>
        <v>-380.80178597591384</v>
      </c>
      <c r="H35" s="159">
        <f t="shared" si="6"/>
        <v>-130.80178597591384</v>
      </c>
      <c r="I35" s="159">
        <f t="shared" si="6"/>
        <v>119.19821402408616</v>
      </c>
      <c r="J35" s="159">
        <f t="shared" si="6"/>
        <v>369.19821402408616</v>
      </c>
      <c r="K35" s="159">
        <f t="shared" si="6"/>
        <v>619.1982140240862</v>
      </c>
      <c r="L35" s="159">
        <f t="shared" si="6"/>
        <v>869.1982140240862</v>
      </c>
      <c r="M35" s="159">
        <f t="shared" si="6"/>
        <v>1119.1982140240862</v>
      </c>
      <c r="N35" s="159">
        <f t="shared" si="6"/>
        <v>1369.1982140240862</v>
      </c>
      <c r="P35" s="247"/>
      <c r="Q35" s="158">
        <f>Q34+0.5</f>
        <v>4.5</v>
      </c>
      <c r="R35" s="159">
        <f>R$18-($B$29/$E35)</f>
        <v>-118.89639224048688</v>
      </c>
      <c r="S35" s="159">
        <f t="shared" si="7"/>
        <v>131.10360775951312</v>
      </c>
      <c r="T35" s="159">
        <f t="shared" si="7"/>
        <v>381.1036077595131</v>
      </c>
      <c r="U35" s="159">
        <f t="shared" si="7"/>
        <v>631.1036077595131</v>
      </c>
      <c r="V35" s="159">
        <f t="shared" si="7"/>
        <v>881.1036077595131</v>
      </c>
      <c r="W35" s="159">
        <f t="shared" si="7"/>
        <v>1131.1036077595131</v>
      </c>
      <c r="X35" s="159">
        <f t="shared" si="7"/>
        <v>1381.1036077595131</v>
      </c>
      <c r="Y35" s="159">
        <f t="shared" si="7"/>
        <v>1631.1036077595131</v>
      </c>
      <c r="Z35" s="159">
        <f t="shared" si="7"/>
        <v>1881.1036077595131</v>
      </c>
    </row>
    <row r="36" spans="1:26" ht="13.5" customHeight="1" thickBot="1">
      <c r="A36" s="171" t="s">
        <v>75</v>
      </c>
      <c r="B36" s="170">
        <f>D4</f>
        <v>216</v>
      </c>
      <c r="C36" s="139"/>
      <c r="D36" s="248"/>
      <c r="E36" s="158">
        <f>E35+0.5</f>
        <v>5</v>
      </c>
      <c r="F36" s="159">
        <f t="shared" si="6"/>
        <v>-419.32160737832237</v>
      </c>
      <c r="G36" s="159">
        <f>G$18-($B$31/$E36)</f>
        <v>-169.32160737832237</v>
      </c>
      <c r="H36" s="159">
        <f t="shared" si="6"/>
        <v>80.67839262167763</v>
      </c>
      <c r="I36" s="159">
        <f t="shared" si="6"/>
        <v>330.67839262167763</v>
      </c>
      <c r="J36" s="159">
        <f t="shared" si="6"/>
        <v>580.6783926216776</v>
      </c>
      <c r="K36" s="159">
        <f t="shared" si="6"/>
        <v>830.6783926216776</v>
      </c>
      <c r="L36" s="159">
        <f t="shared" si="6"/>
        <v>1080.6783926216776</v>
      </c>
      <c r="M36" s="159">
        <f t="shared" si="6"/>
        <v>1330.6783926216776</v>
      </c>
      <c r="N36" s="159">
        <f t="shared" si="6"/>
        <v>1580.6783926216776</v>
      </c>
      <c r="P36" s="248"/>
      <c r="Q36" s="158">
        <f>Q35+0.5</f>
        <v>5</v>
      </c>
      <c r="R36" s="159">
        <f>R$18-($B$29/$E36)</f>
        <v>41.39324698356177</v>
      </c>
      <c r="S36" s="159">
        <f>S$18-($B$29/$E36)</f>
        <v>291.39324698356177</v>
      </c>
      <c r="T36" s="159">
        <f t="shared" si="7"/>
        <v>541.3932469835618</v>
      </c>
      <c r="U36" s="159">
        <f t="shared" si="7"/>
        <v>791.3932469835618</v>
      </c>
      <c r="V36" s="159">
        <f t="shared" si="7"/>
        <v>1041.3932469835618</v>
      </c>
      <c r="W36" s="159">
        <f t="shared" si="7"/>
        <v>1291.3932469835618</v>
      </c>
      <c r="X36" s="159">
        <f t="shared" si="7"/>
        <v>1541.3932469835618</v>
      </c>
      <c r="Y36" s="159">
        <f t="shared" si="7"/>
        <v>1791.3932469835618</v>
      </c>
      <c r="Z36" s="159">
        <f t="shared" si="7"/>
        <v>2041.3932469835618</v>
      </c>
    </row>
    <row r="37" spans="1:24" ht="13.5" customHeight="1" thickBot="1">
      <c r="A37" s="176" t="s">
        <v>76</v>
      </c>
      <c r="B37" s="186">
        <f>B35-B36</f>
        <v>2484</v>
      </c>
      <c r="C37" s="139"/>
      <c r="D37" s="178"/>
      <c r="E37" s="179"/>
      <c r="F37" s="180"/>
      <c r="G37" s="180"/>
      <c r="H37" s="180"/>
      <c r="I37" s="180"/>
      <c r="J37" s="180"/>
      <c r="K37" s="180"/>
      <c r="L37" s="180"/>
      <c r="P37" s="178"/>
      <c r="Q37" s="179"/>
      <c r="R37" s="180"/>
      <c r="S37" s="180"/>
      <c r="T37" s="180"/>
      <c r="U37" s="180"/>
      <c r="V37" s="180"/>
      <c r="W37" s="180"/>
      <c r="X37" s="180"/>
    </row>
    <row r="38" spans="1:24" s="133" customFormat="1" ht="13.5" customHeight="1">
      <c r="A38" s="181"/>
      <c r="B38" s="182"/>
      <c r="C38" s="183"/>
      <c r="D38" s="184"/>
      <c r="E38" s="185"/>
      <c r="F38" s="180"/>
      <c r="G38" s="180"/>
      <c r="H38" s="180"/>
      <c r="I38" s="180"/>
      <c r="J38" s="180"/>
      <c r="K38" s="180"/>
      <c r="L38" s="180"/>
      <c r="P38" s="184"/>
      <c r="Q38" s="185"/>
      <c r="R38" s="180"/>
      <c r="S38" s="180"/>
      <c r="T38" s="180"/>
      <c r="U38" s="180"/>
      <c r="V38" s="180"/>
      <c r="W38" s="180"/>
      <c r="X38" s="180"/>
    </row>
    <row r="39" spans="1:24" ht="13.5" customHeight="1">
      <c r="A39" s="181"/>
      <c r="B39" s="182"/>
      <c r="C39" s="139"/>
      <c r="D39" s="178"/>
      <c r="E39" s="179"/>
      <c r="F39" s="180"/>
      <c r="G39" s="180"/>
      <c r="H39" s="180"/>
      <c r="I39" s="180"/>
      <c r="J39" s="180"/>
      <c r="K39" s="180"/>
      <c r="L39" s="180"/>
      <c r="P39" s="178"/>
      <c r="Q39" s="179"/>
      <c r="R39" s="180"/>
      <c r="S39" s="180"/>
      <c r="T39" s="180"/>
      <c r="U39" s="180"/>
      <c r="V39" s="180"/>
      <c r="W39" s="180"/>
      <c r="X39" s="180"/>
    </row>
    <row r="40" spans="1:24" ht="13.5" customHeight="1" thickBot="1">
      <c r="A40" s="250" t="s">
        <v>101</v>
      </c>
      <c r="B40" s="250"/>
      <c r="D40" s="178"/>
      <c r="E40" s="179"/>
      <c r="F40" s="180"/>
      <c r="G40" s="180"/>
      <c r="H40" s="180"/>
      <c r="I40" s="180"/>
      <c r="J40" s="180"/>
      <c r="K40" s="180"/>
      <c r="L40" s="180"/>
      <c r="P40" s="178"/>
      <c r="Q40" s="179"/>
      <c r="R40" s="180"/>
      <c r="S40" s="180"/>
      <c r="T40" s="180"/>
      <c r="U40" s="180"/>
      <c r="V40" s="180"/>
      <c r="W40" s="180"/>
      <c r="X40" s="180"/>
    </row>
    <row r="41" spans="1:26" ht="18.75" customHeight="1" thickBot="1">
      <c r="A41" s="135" t="s">
        <v>77</v>
      </c>
      <c r="B41" s="136"/>
      <c r="C41" s="137"/>
      <c r="D41" s="242" t="s">
        <v>78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3"/>
      <c r="P41" s="242" t="s">
        <v>79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43"/>
    </row>
    <row r="42" spans="1:26" ht="13.5" customHeight="1" thickBot="1">
      <c r="A42" s="138" t="s">
        <v>66</v>
      </c>
      <c r="B42" s="241">
        <f>INDEX(Sonneblom!K9:M12,MATCH($B$46,Sonopbrengspeil,0),2)</f>
        <v>4179.765736795367</v>
      </c>
      <c r="C42" s="139"/>
      <c r="D42" s="140"/>
      <c r="E42" s="141"/>
      <c r="F42" s="142"/>
      <c r="G42" s="143"/>
      <c r="H42" s="142"/>
      <c r="I42" s="142"/>
      <c r="J42" s="142" t="s">
        <v>67</v>
      </c>
      <c r="K42" s="144"/>
      <c r="L42" s="142"/>
      <c r="M42" s="144"/>
      <c r="N42" s="142"/>
      <c r="P42" s="140"/>
      <c r="Q42" s="141"/>
      <c r="R42" s="142"/>
      <c r="S42" s="143"/>
      <c r="T42" s="142"/>
      <c r="U42" s="142"/>
      <c r="V42" s="142" t="s">
        <v>67</v>
      </c>
      <c r="W42" s="144"/>
      <c r="X42" s="142"/>
      <c r="Y42" s="144"/>
      <c r="Z42" s="142"/>
    </row>
    <row r="43" spans="1:26" ht="13.5" customHeight="1" thickBot="1">
      <c r="A43" s="145" t="s">
        <v>68</v>
      </c>
      <c r="B43" s="241">
        <f>INDEX(Sonneblom!K9:M12,MATCH($B$46,Sonopbrengspeil,0),3)</f>
        <v>1981.8726855310442</v>
      </c>
      <c r="C43" s="139"/>
      <c r="D43" s="242" t="s">
        <v>69</v>
      </c>
      <c r="E43" s="243"/>
      <c r="F43" s="187">
        <f>G43-200</f>
        <v>5200</v>
      </c>
      <c r="G43" s="187">
        <f>H43-200</f>
        <v>5400</v>
      </c>
      <c r="H43" s="187">
        <f>I43-200</f>
        <v>5600</v>
      </c>
      <c r="I43" s="188">
        <f>J43-200</f>
        <v>5800</v>
      </c>
      <c r="J43" s="189">
        <f>B48</f>
        <v>6000</v>
      </c>
      <c r="K43" s="188">
        <f>J43+200</f>
        <v>6200</v>
      </c>
      <c r="L43" s="188">
        <f>K43+200</f>
        <v>6400</v>
      </c>
      <c r="M43" s="188">
        <f>L43+200</f>
        <v>6600</v>
      </c>
      <c r="N43" s="188">
        <f>M43+200</f>
        <v>6800</v>
      </c>
      <c r="P43" s="242" t="s">
        <v>69</v>
      </c>
      <c r="Q43" s="243"/>
      <c r="R43" s="187">
        <f>S43-200</f>
        <v>5200</v>
      </c>
      <c r="S43" s="187">
        <f>T43-200</f>
        <v>5400</v>
      </c>
      <c r="T43" s="187">
        <f>U43-200</f>
        <v>5600</v>
      </c>
      <c r="U43" s="188">
        <f>V43-200</f>
        <v>5800</v>
      </c>
      <c r="V43" s="189">
        <f>J43</f>
        <v>6000</v>
      </c>
      <c r="W43" s="188">
        <f>V43+200</f>
        <v>6200</v>
      </c>
      <c r="X43" s="188">
        <f>W43+200</f>
        <v>6400</v>
      </c>
      <c r="Y43" s="188">
        <f>X43+200</f>
        <v>6600</v>
      </c>
      <c r="Z43" s="188">
        <f>Y43+200</f>
        <v>6800</v>
      </c>
    </row>
    <row r="44" spans="1:26" ht="13.5" customHeight="1" thickBot="1">
      <c r="A44" s="150" t="s">
        <v>70</v>
      </c>
      <c r="B44" s="151">
        <f>B43+B42</f>
        <v>6161.638422326411</v>
      </c>
      <c r="C44" s="152"/>
      <c r="D44" s="244" t="s">
        <v>71</v>
      </c>
      <c r="E44" s="245"/>
      <c r="F44" s="190">
        <f aca="true" t="shared" si="8" ref="F44:N44">F43-$B$49</f>
        <v>4982</v>
      </c>
      <c r="G44" s="190">
        <f t="shared" si="8"/>
        <v>5182</v>
      </c>
      <c r="H44" s="190">
        <f t="shared" si="8"/>
        <v>5382</v>
      </c>
      <c r="I44" s="190">
        <f t="shared" si="8"/>
        <v>5582</v>
      </c>
      <c r="J44" s="191">
        <f>J43-$B$49</f>
        <v>5782</v>
      </c>
      <c r="K44" s="190">
        <f t="shared" si="8"/>
        <v>5982</v>
      </c>
      <c r="L44" s="190">
        <f t="shared" si="8"/>
        <v>6182</v>
      </c>
      <c r="M44" s="190">
        <f t="shared" si="8"/>
        <v>6382</v>
      </c>
      <c r="N44" s="190">
        <f t="shared" si="8"/>
        <v>6582</v>
      </c>
      <c r="P44" s="244" t="s">
        <v>71</v>
      </c>
      <c r="Q44" s="245"/>
      <c r="R44" s="190">
        <f aca="true" t="shared" si="9" ref="R44:Z44">R43-$B$49</f>
        <v>4982</v>
      </c>
      <c r="S44" s="190">
        <f t="shared" si="9"/>
        <v>5182</v>
      </c>
      <c r="T44" s="190">
        <f t="shared" si="9"/>
        <v>5382</v>
      </c>
      <c r="U44" s="190">
        <f t="shared" si="9"/>
        <v>5582</v>
      </c>
      <c r="V44" s="191">
        <f t="shared" si="9"/>
        <v>5782</v>
      </c>
      <c r="W44" s="190">
        <f t="shared" si="9"/>
        <v>5982</v>
      </c>
      <c r="X44" s="190">
        <f t="shared" si="9"/>
        <v>6182</v>
      </c>
      <c r="Y44" s="190">
        <f t="shared" si="9"/>
        <v>6382</v>
      </c>
      <c r="Z44" s="190">
        <f t="shared" si="9"/>
        <v>6582</v>
      </c>
    </row>
    <row r="45" spans="1:26" ht="13.5" customHeight="1" thickBot="1">
      <c r="A45" s="156"/>
      <c r="B45" s="157"/>
      <c r="C45" s="139"/>
      <c r="D45" s="246" t="s">
        <v>72</v>
      </c>
      <c r="E45" s="158">
        <f>E46-0.25</f>
        <v>1</v>
      </c>
      <c r="F45" s="159">
        <f aca="true" t="shared" si="10" ref="F45:N49">F$44-($B$44/$E45)</f>
        <v>-1179.6384223264113</v>
      </c>
      <c r="G45" s="159">
        <f t="shared" si="10"/>
        <v>-979.6384223264113</v>
      </c>
      <c r="H45" s="159">
        <f t="shared" si="10"/>
        <v>-779.6384223264113</v>
      </c>
      <c r="I45" s="159">
        <f t="shared" si="10"/>
        <v>-579.6384223264113</v>
      </c>
      <c r="J45" s="159">
        <f t="shared" si="10"/>
        <v>-379.6384223264113</v>
      </c>
      <c r="K45" s="159">
        <f t="shared" si="10"/>
        <v>-179.63842232641127</v>
      </c>
      <c r="L45" s="159">
        <f t="shared" si="10"/>
        <v>20.361577673588727</v>
      </c>
      <c r="M45" s="159">
        <f t="shared" si="10"/>
        <v>220.36157767358873</v>
      </c>
      <c r="N45" s="159">
        <f t="shared" si="10"/>
        <v>420.3615776735887</v>
      </c>
      <c r="P45" s="246" t="s">
        <v>72</v>
      </c>
      <c r="Q45" s="158">
        <f>Q46-0.25</f>
        <v>1</v>
      </c>
      <c r="R45" s="159">
        <f aca="true" t="shared" si="11" ref="R45:Z49">R$44-($B$42/$E45)</f>
        <v>802.234263204633</v>
      </c>
      <c r="S45" s="159">
        <f t="shared" si="11"/>
        <v>1002.234263204633</v>
      </c>
      <c r="T45" s="159">
        <f t="shared" si="11"/>
        <v>1202.234263204633</v>
      </c>
      <c r="U45" s="159">
        <f t="shared" si="11"/>
        <v>1402.234263204633</v>
      </c>
      <c r="V45" s="159">
        <f t="shared" si="11"/>
        <v>1602.234263204633</v>
      </c>
      <c r="W45" s="159">
        <f t="shared" si="11"/>
        <v>1802.234263204633</v>
      </c>
      <c r="X45" s="159">
        <f t="shared" si="11"/>
        <v>2002.234263204633</v>
      </c>
      <c r="Y45" s="159">
        <f t="shared" si="11"/>
        <v>2202.234263204633</v>
      </c>
      <c r="Z45" s="159">
        <f t="shared" si="11"/>
        <v>2402.234263204633</v>
      </c>
    </row>
    <row r="46" spans="1:26" ht="13.5" customHeight="1" thickBot="1">
      <c r="A46" s="163" t="s">
        <v>73</v>
      </c>
      <c r="B46" s="288">
        <f>Sonneblom!E5</f>
        <v>1.5</v>
      </c>
      <c r="C46" s="139"/>
      <c r="D46" s="247"/>
      <c r="E46" s="158">
        <f>E47-0.25</f>
        <v>1.25</v>
      </c>
      <c r="F46" s="159">
        <f t="shared" si="10"/>
        <v>52.68926213887062</v>
      </c>
      <c r="G46" s="159">
        <f t="shared" si="10"/>
        <v>252.68926213887062</v>
      </c>
      <c r="H46" s="159">
        <f t="shared" si="10"/>
        <v>452.6892621388706</v>
      </c>
      <c r="I46" s="159">
        <f t="shared" si="10"/>
        <v>652.6892621388706</v>
      </c>
      <c r="J46" s="159">
        <f t="shared" si="10"/>
        <v>852.6892621388706</v>
      </c>
      <c r="K46" s="159">
        <f t="shared" si="10"/>
        <v>1052.6892621388706</v>
      </c>
      <c r="L46" s="159">
        <f t="shared" si="10"/>
        <v>1252.6892621388706</v>
      </c>
      <c r="M46" s="159">
        <f t="shared" si="10"/>
        <v>1452.6892621388706</v>
      </c>
      <c r="N46" s="159">
        <f t="shared" si="10"/>
        <v>1652.6892621388706</v>
      </c>
      <c r="P46" s="247"/>
      <c r="Q46" s="158">
        <f>Q47-0.25</f>
        <v>1.25</v>
      </c>
      <c r="R46" s="159">
        <f t="shared" si="11"/>
        <v>1638.1874105637062</v>
      </c>
      <c r="S46" s="159">
        <f t="shared" si="11"/>
        <v>1838.1874105637062</v>
      </c>
      <c r="T46" s="159">
        <f t="shared" si="11"/>
        <v>2038.1874105637062</v>
      </c>
      <c r="U46" s="159">
        <f t="shared" si="11"/>
        <v>2238.187410563706</v>
      </c>
      <c r="V46" s="159">
        <f t="shared" si="11"/>
        <v>2438.187410563706</v>
      </c>
      <c r="W46" s="159">
        <f t="shared" si="11"/>
        <v>2638.187410563706</v>
      </c>
      <c r="X46" s="159">
        <f t="shared" si="11"/>
        <v>2838.187410563706</v>
      </c>
      <c r="Y46" s="159">
        <f t="shared" si="11"/>
        <v>3038.187410563706</v>
      </c>
      <c r="Z46" s="159">
        <f t="shared" si="11"/>
        <v>3238.187410563706</v>
      </c>
    </row>
    <row r="47" spans="1:26" ht="13.5" customHeight="1" thickBot="1">
      <c r="A47" s="156"/>
      <c r="B47" s="157"/>
      <c r="C47" s="139"/>
      <c r="D47" s="247"/>
      <c r="E47" s="168">
        <f>B46</f>
        <v>1.5</v>
      </c>
      <c r="F47" s="159">
        <f t="shared" si="10"/>
        <v>874.2410517823928</v>
      </c>
      <c r="G47" s="159">
        <f t="shared" si="10"/>
        <v>1074.2410517823928</v>
      </c>
      <c r="H47" s="159">
        <f t="shared" si="10"/>
        <v>1274.2410517823928</v>
      </c>
      <c r="I47" s="159">
        <f t="shared" si="10"/>
        <v>1474.2410517823928</v>
      </c>
      <c r="J47" s="159">
        <f t="shared" si="10"/>
        <v>1674.2410517823928</v>
      </c>
      <c r="K47" s="159">
        <f t="shared" si="10"/>
        <v>1874.2410517823928</v>
      </c>
      <c r="L47" s="159">
        <f t="shared" si="10"/>
        <v>2074.241051782393</v>
      </c>
      <c r="M47" s="159">
        <f t="shared" si="10"/>
        <v>2274.241051782393</v>
      </c>
      <c r="N47" s="159">
        <f t="shared" si="10"/>
        <v>2474.241051782393</v>
      </c>
      <c r="P47" s="247"/>
      <c r="Q47" s="168">
        <f>E47</f>
        <v>1.5</v>
      </c>
      <c r="R47" s="159">
        <f t="shared" si="11"/>
        <v>2195.4895088030885</v>
      </c>
      <c r="S47" s="159">
        <f t="shared" si="11"/>
        <v>2395.4895088030885</v>
      </c>
      <c r="T47" s="159">
        <f t="shared" si="11"/>
        <v>2595.4895088030885</v>
      </c>
      <c r="U47" s="159">
        <f t="shared" si="11"/>
        <v>2795.4895088030885</v>
      </c>
      <c r="V47" s="159">
        <f t="shared" si="11"/>
        <v>2995.4895088030885</v>
      </c>
      <c r="W47" s="159">
        <f t="shared" si="11"/>
        <v>3195.4895088030885</v>
      </c>
      <c r="X47" s="159">
        <f t="shared" si="11"/>
        <v>3395.4895088030885</v>
      </c>
      <c r="Y47" s="159">
        <f t="shared" si="11"/>
        <v>3595.4895088030885</v>
      </c>
      <c r="Z47" s="159">
        <f t="shared" si="11"/>
        <v>3795.4895088030885</v>
      </c>
    </row>
    <row r="48" spans="1:26" ht="13.5" customHeight="1" thickBot="1">
      <c r="A48" s="169" t="s">
        <v>80</v>
      </c>
      <c r="B48" s="170">
        <f>B5</f>
        <v>6000</v>
      </c>
      <c r="C48" s="139"/>
      <c r="D48" s="247"/>
      <c r="E48" s="158">
        <f>E47+0.25</f>
        <v>1.75</v>
      </c>
      <c r="F48" s="159">
        <f t="shared" si="10"/>
        <v>1461.063758670622</v>
      </c>
      <c r="G48" s="159">
        <f t="shared" si="10"/>
        <v>1661.063758670622</v>
      </c>
      <c r="H48" s="159">
        <f t="shared" si="10"/>
        <v>1861.063758670622</v>
      </c>
      <c r="I48" s="159">
        <f t="shared" si="10"/>
        <v>2061.063758670622</v>
      </c>
      <c r="J48" s="159">
        <f t="shared" si="10"/>
        <v>2261.063758670622</v>
      </c>
      <c r="K48" s="159">
        <f t="shared" si="10"/>
        <v>2461.063758670622</v>
      </c>
      <c r="L48" s="159">
        <f t="shared" si="10"/>
        <v>2661.063758670622</v>
      </c>
      <c r="M48" s="159">
        <f t="shared" si="10"/>
        <v>2861.063758670622</v>
      </c>
      <c r="N48" s="159">
        <f t="shared" si="10"/>
        <v>3061.063758670622</v>
      </c>
      <c r="P48" s="247"/>
      <c r="Q48" s="158">
        <f>Q47+0.25</f>
        <v>1.75</v>
      </c>
      <c r="R48" s="159">
        <f t="shared" si="11"/>
        <v>2593.562436116933</v>
      </c>
      <c r="S48" s="159">
        <f t="shared" si="11"/>
        <v>2793.562436116933</v>
      </c>
      <c r="T48" s="159">
        <f t="shared" si="11"/>
        <v>2993.562436116933</v>
      </c>
      <c r="U48" s="159">
        <f t="shared" si="11"/>
        <v>3193.562436116933</v>
      </c>
      <c r="V48" s="159">
        <f t="shared" si="11"/>
        <v>3393.562436116933</v>
      </c>
      <c r="W48" s="159">
        <f t="shared" si="11"/>
        <v>3593.562436116933</v>
      </c>
      <c r="X48" s="159">
        <f t="shared" si="11"/>
        <v>3793.562436116933</v>
      </c>
      <c r="Y48" s="159">
        <f t="shared" si="11"/>
        <v>3993.562436116933</v>
      </c>
      <c r="Z48" s="159">
        <f t="shared" si="11"/>
        <v>4193.562436116933</v>
      </c>
    </row>
    <row r="49" spans="1:26" ht="13.5" customHeight="1" thickBot="1">
      <c r="A49" s="171" t="s">
        <v>75</v>
      </c>
      <c r="B49" s="170">
        <f>D5</f>
        <v>218</v>
      </c>
      <c r="C49" s="139"/>
      <c r="D49" s="248"/>
      <c r="E49" s="158">
        <f>E48+0.25</f>
        <v>2</v>
      </c>
      <c r="F49" s="159">
        <f>F$44-($B$44/$E49)</f>
        <v>1901.1807888367944</v>
      </c>
      <c r="G49" s="159">
        <f t="shared" si="10"/>
        <v>2101.1807888367944</v>
      </c>
      <c r="H49" s="159">
        <f t="shared" si="10"/>
        <v>2301.1807888367944</v>
      </c>
      <c r="I49" s="159">
        <f t="shared" si="10"/>
        <v>2501.1807888367944</v>
      </c>
      <c r="J49" s="159">
        <f t="shared" si="10"/>
        <v>2701.1807888367944</v>
      </c>
      <c r="K49" s="159">
        <f t="shared" si="10"/>
        <v>2901.1807888367944</v>
      </c>
      <c r="L49" s="159">
        <f t="shared" si="10"/>
        <v>3101.1807888367944</v>
      </c>
      <c r="M49" s="159">
        <f t="shared" si="10"/>
        <v>3301.1807888367944</v>
      </c>
      <c r="N49" s="159">
        <f t="shared" si="10"/>
        <v>3501.1807888367944</v>
      </c>
      <c r="P49" s="248"/>
      <c r="Q49" s="158">
        <f>Q48+0.25</f>
        <v>2</v>
      </c>
      <c r="R49" s="159">
        <f>R$44-($B$42/$E49)</f>
        <v>2892.1171316023165</v>
      </c>
      <c r="S49" s="159">
        <f t="shared" si="11"/>
        <v>3092.1171316023165</v>
      </c>
      <c r="T49" s="159">
        <f t="shared" si="11"/>
        <v>3292.1171316023165</v>
      </c>
      <c r="U49" s="159">
        <f t="shared" si="11"/>
        <v>3492.1171316023165</v>
      </c>
      <c r="V49" s="159">
        <f t="shared" si="11"/>
        <v>3692.1171316023165</v>
      </c>
      <c r="W49" s="159">
        <f t="shared" si="11"/>
        <v>3892.1171316023165</v>
      </c>
      <c r="X49" s="159">
        <f t="shared" si="11"/>
        <v>4092.1171316023165</v>
      </c>
      <c r="Y49" s="159">
        <f t="shared" si="11"/>
        <v>4292.1171316023165</v>
      </c>
      <c r="Z49" s="159">
        <f t="shared" si="11"/>
        <v>4492.1171316023165</v>
      </c>
    </row>
    <row r="50" spans="1:24" ht="13.5" customHeight="1" thickBot="1">
      <c r="A50" s="176" t="s">
        <v>76</v>
      </c>
      <c r="B50" s="177">
        <f>B48-B49</f>
        <v>5782</v>
      </c>
      <c r="C50" s="139"/>
      <c r="D50" s="178"/>
      <c r="E50" s="179"/>
      <c r="F50" s="180"/>
      <c r="G50" s="180"/>
      <c r="H50" s="180"/>
      <c r="I50" s="180"/>
      <c r="J50" s="180"/>
      <c r="K50" s="180"/>
      <c r="L50" s="180"/>
      <c r="P50" s="178"/>
      <c r="Q50" s="179"/>
      <c r="R50" s="180"/>
      <c r="S50" s="180"/>
      <c r="T50" s="180"/>
      <c r="U50" s="180"/>
      <c r="V50" s="180"/>
      <c r="W50" s="180"/>
      <c r="X50" s="180"/>
    </row>
    <row r="51" spans="1:24" ht="13.5" customHeight="1">
      <c r="A51" s="181"/>
      <c r="B51" s="182"/>
      <c r="C51" s="139"/>
      <c r="D51" s="178"/>
      <c r="E51" s="179"/>
      <c r="F51" s="180"/>
      <c r="G51" s="180"/>
      <c r="H51" s="180"/>
      <c r="I51" s="180"/>
      <c r="J51" s="180"/>
      <c r="K51" s="180"/>
      <c r="L51" s="180"/>
      <c r="P51" s="178"/>
      <c r="Q51" s="179"/>
      <c r="R51" s="180"/>
      <c r="S51" s="180"/>
      <c r="T51" s="180"/>
      <c r="U51" s="180"/>
      <c r="V51" s="180"/>
      <c r="W51" s="180"/>
      <c r="X51" s="180"/>
    </row>
    <row r="52" spans="1:24" ht="13.5" customHeight="1">
      <c r="A52" s="133"/>
      <c r="B52" s="133"/>
      <c r="D52" s="178"/>
      <c r="E52" s="179"/>
      <c r="F52" s="180"/>
      <c r="G52" s="180"/>
      <c r="H52" s="180"/>
      <c r="I52" s="180"/>
      <c r="J52" s="180"/>
      <c r="K52" s="180"/>
      <c r="L52" s="180"/>
      <c r="P52" s="178"/>
      <c r="Q52" s="179"/>
      <c r="R52" s="180"/>
      <c r="S52" s="180"/>
      <c r="T52" s="180"/>
      <c r="U52" s="180"/>
      <c r="V52" s="180"/>
      <c r="W52" s="180"/>
      <c r="X52" s="180"/>
    </row>
    <row r="53" spans="1:2" ht="13.5" customHeight="1" thickBot="1">
      <c r="A53" s="251" t="s">
        <v>118</v>
      </c>
      <c r="B53" s="251"/>
    </row>
    <row r="54" spans="1:26" ht="19.5" customHeight="1" thickBot="1">
      <c r="A54" s="135" t="s">
        <v>81</v>
      </c>
      <c r="B54" s="136"/>
      <c r="C54" s="137"/>
      <c r="D54" s="242" t="s">
        <v>82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3"/>
      <c r="P54" s="242" t="s">
        <v>83</v>
      </c>
      <c r="Q54" s="249"/>
      <c r="R54" s="249"/>
      <c r="S54" s="249"/>
      <c r="T54" s="249"/>
      <c r="U54" s="249"/>
      <c r="V54" s="249"/>
      <c r="W54" s="249"/>
      <c r="X54" s="249"/>
      <c r="Y54" s="249"/>
      <c r="Z54" s="243"/>
    </row>
    <row r="55" spans="1:26" ht="13.5" customHeight="1" thickBot="1">
      <c r="A55" s="138" t="s">
        <v>66</v>
      </c>
      <c r="B55" s="241">
        <f>INDEX(Sojabone!K9:M14,MATCH($B$59,Sojaopbrengspeil,0),2)</f>
        <v>6396.162514731289</v>
      </c>
      <c r="C55" s="192"/>
      <c r="D55" s="140"/>
      <c r="E55" s="141"/>
      <c r="F55" s="142"/>
      <c r="G55" s="143"/>
      <c r="H55" s="142"/>
      <c r="I55" s="142"/>
      <c r="J55" s="142" t="s">
        <v>84</v>
      </c>
      <c r="K55" s="144"/>
      <c r="L55" s="142"/>
      <c r="M55" s="144"/>
      <c r="N55" s="142"/>
      <c r="P55" s="140"/>
      <c r="Q55" s="141"/>
      <c r="R55" s="142"/>
      <c r="S55" s="143"/>
      <c r="T55" s="142"/>
      <c r="U55" s="142"/>
      <c r="V55" s="142" t="s">
        <v>84</v>
      </c>
      <c r="W55" s="144"/>
      <c r="X55" s="142"/>
      <c r="Y55" s="144"/>
      <c r="Z55" s="142"/>
    </row>
    <row r="56" spans="1:26" ht="13.5" customHeight="1" thickBot="1">
      <c r="A56" s="145" t="s">
        <v>68</v>
      </c>
      <c r="B56" s="241">
        <f>INDEX(Sojabone!K9:M14,MATCH($B$59,Sojaopbrengspeil,0),3)</f>
        <v>2179.6158624177524</v>
      </c>
      <c r="C56" s="192"/>
      <c r="D56" s="242" t="s">
        <v>69</v>
      </c>
      <c r="E56" s="243"/>
      <c r="F56" s="148">
        <f>G56-200</f>
        <v>5400</v>
      </c>
      <c r="G56" s="148">
        <f>H56-200</f>
        <v>5600</v>
      </c>
      <c r="H56" s="148">
        <f>I56-200</f>
        <v>5800</v>
      </c>
      <c r="I56" s="148">
        <f>J56-200</f>
        <v>6000</v>
      </c>
      <c r="J56" s="147">
        <f>B61</f>
        <v>6200</v>
      </c>
      <c r="K56" s="148">
        <f>J56+200</f>
        <v>6400</v>
      </c>
      <c r="L56" s="148">
        <f>K56+200</f>
        <v>6600</v>
      </c>
      <c r="M56" s="148">
        <f>L56+200</f>
        <v>6800</v>
      </c>
      <c r="N56" s="148">
        <f>M56+200</f>
        <v>7000</v>
      </c>
      <c r="P56" s="242" t="s">
        <v>69</v>
      </c>
      <c r="Q56" s="243"/>
      <c r="R56" s="148">
        <f>S56-200</f>
        <v>5400</v>
      </c>
      <c r="S56" s="148">
        <f>T56-200</f>
        <v>5600</v>
      </c>
      <c r="T56" s="148">
        <f>U56-200</f>
        <v>5800</v>
      </c>
      <c r="U56" s="148">
        <f>V56-200</f>
        <v>6000</v>
      </c>
      <c r="V56" s="149">
        <f>J56</f>
        <v>6200</v>
      </c>
      <c r="W56" s="148">
        <f>V56+200</f>
        <v>6400</v>
      </c>
      <c r="X56" s="148">
        <f>W56+200</f>
        <v>6600</v>
      </c>
      <c r="Y56" s="148">
        <f>X56+200</f>
        <v>6800</v>
      </c>
      <c r="Z56" s="148">
        <f>Y56+200</f>
        <v>7000</v>
      </c>
    </row>
    <row r="57" spans="1:26" ht="13.5" customHeight="1" thickBot="1">
      <c r="A57" s="150" t="s">
        <v>70</v>
      </c>
      <c r="B57" s="151">
        <f>B56+B55</f>
        <v>8575.778377149041</v>
      </c>
      <c r="C57" s="193"/>
      <c r="D57" s="244" t="s">
        <v>71</v>
      </c>
      <c r="E57" s="245"/>
      <c r="F57" s="194">
        <f aca="true" t="shared" si="12" ref="F57:N57">F56-$B$62</f>
        <v>5337</v>
      </c>
      <c r="G57" s="153">
        <f t="shared" si="12"/>
        <v>5537</v>
      </c>
      <c r="H57" s="153">
        <f t="shared" si="12"/>
        <v>5737</v>
      </c>
      <c r="I57" s="153">
        <f t="shared" si="12"/>
        <v>5937</v>
      </c>
      <c r="J57" s="154">
        <f>J56-$B$62</f>
        <v>6137</v>
      </c>
      <c r="K57" s="153">
        <f t="shared" si="12"/>
        <v>6337</v>
      </c>
      <c r="L57" s="153">
        <f t="shared" si="12"/>
        <v>6537</v>
      </c>
      <c r="M57" s="153">
        <f t="shared" si="12"/>
        <v>6737</v>
      </c>
      <c r="N57" s="153">
        <f t="shared" si="12"/>
        <v>6937</v>
      </c>
      <c r="P57" s="244" t="s">
        <v>71</v>
      </c>
      <c r="Q57" s="245"/>
      <c r="R57" s="153">
        <f aca="true" t="shared" si="13" ref="R57:Z57">R56-$B$62</f>
        <v>5337</v>
      </c>
      <c r="S57" s="153">
        <f t="shared" si="13"/>
        <v>5537</v>
      </c>
      <c r="T57" s="153">
        <f t="shared" si="13"/>
        <v>5737</v>
      </c>
      <c r="U57" s="153">
        <f t="shared" si="13"/>
        <v>5937</v>
      </c>
      <c r="V57" s="154">
        <f>V56-$B$62</f>
        <v>6137</v>
      </c>
      <c r="W57" s="153">
        <f t="shared" si="13"/>
        <v>6337</v>
      </c>
      <c r="X57" s="153">
        <f t="shared" si="13"/>
        <v>6537</v>
      </c>
      <c r="Y57" s="153">
        <f t="shared" si="13"/>
        <v>6737</v>
      </c>
      <c r="Z57" s="153">
        <f t="shared" si="13"/>
        <v>6937</v>
      </c>
    </row>
    <row r="58" spans="1:26" ht="13.5" customHeight="1" thickBot="1">
      <c r="A58" s="156"/>
      <c r="B58" s="157"/>
      <c r="C58" s="195"/>
      <c r="D58" s="246" t="s">
        <v>72</v>
      </c>
      <c r="E58" s="158">
        <f>E59-0.25</f>
        <v>1.25</v>
      </c>
      <c r="F58" s="159">
        <f>F$57-($B$57/$E58)</f>
        <v>-1523.6227017192332</v>
      </c>
      <c r="G58" s="160">
        <f aca="true" t="shared" si="14" ref="F58:N62">G$57-($B$57/$E58)</f>
        <v>-1323.6227017192332</v>
      </c>
      <c r="H58" s="160">
        <f t="shared" si="14"/>
        <v>-1123.6227017192332</v>
      </c>
      <c r="I58" s="160">
        <f t="shared" si="14"/>
        <v>-923.6227017192332</v>
      </c>
      <c r="J58" s="160">
        <f t="shared" si="14"/>
        <v>-723.6227017192332</v>
      </c>
      <c r="K58" s="160">
        <f t="shared" si="14"/>
        <v>-523.6227017192332</v>
      </c>
      <c r="L58" s="160">
        <f t="shared" si="14"/>
        <v>-323.6227017192332</v>
      </c>
      <c r="M58" s="161">
        <f t="shared" si="14"/>
        <v>-123.62270171923319</v>
      </c>
      <c r="N58" s="162">
        <f t="shared" si="14"/>
        <v>76.37729828076681</v>
      </c>
      <c r="P58" s="246" t="s">
        <v>72</v>
      </c>
      <c r="Q58" s="158">
        <f>Q59-0.25</f>
        <v>1.25</v>
      </c>
      <c r="R58" s="159">
        <f>R$57-($B$55/$E58)</f>
        <v>220.06998821496927</v>
      </c>
      <c r="S58" s="159">
        <f aca="true" t="shared" si="15" ref="S58:Z58">S$57-($B$55/$E58)</f>
        <v>420.06998821496927</v>
      </c>
      <c r="T58" s="159">
        <f t="shared" si="15"/>
        <v>620.0699882149693</v>
      </c>
      <c r="U58" s="159">
        <f t="shared" si="15"/>
        <v>820.0699882149693</v>
      </c>
      <c r="V58" s="159">
        <f t="shared" si="15"/>
        <v>1020.0699882149693</v>
      </c>
      <c r="W58" s="159">
        <f t="shared" si="15"/>
        <v>1220.0699882149693</v>
      </c>
      <c r="X58" s="159">
        <f t="shared" si="15"/>
        <v>1420.0699882149693</v>
      </c>
      <c r="Y58" s="159">
        <f t="shared" si="15"/>
        <v>1620.0699882149693</v>
      </c>
      <c r="Z58" s="159">
        <f t="shared" si="15"/>
        <v>1820.0699882149693</v>
      </c>
    </row>
    <row r="59" spans="1:26" ht="13.5" customHeight="1" thickBot="1">
      <c r="A59" s="163" t="s">
        <v>73</v>
      </c>
      <c r="B59" s="288">
        <f>Sojabone!F5</f>
        <v>1.75</v>
      </c>
      <c r="C59" s="196"/>
      <c r="D59" s="247"/>
      <c r="E59" s="158">
        <f>E60-0.25</f>
        <v>1.5</v>
      </c>
      <c r="F59" s="164">
        <f t="shared" si="14"/>
        <v>-380.1855847660272</v>
      </c>
      <c r="G59" s="165">
        <f t="shared" si="14"/>
        <v>-180.1855847660272</v>
      </c>
      <c r="H59" s="165">
        <f t="shared" si="14"/>
        <v>19.814415233972795</v>
      </c>
      <c r="I59" s="165">
        <f t="shared" si="14"/>
        <v>219.8144152339728</v>
      </c>
      <c r="J59" s="165">
        <f t="shared" si="14"/>
        <v>419.8144152339728</v>
      </c>
      <c r="K59" s="166">
        <f t="shared" si="14"/>
        <v>619.8144152339728</v>
      </c>
      <c r="L59" s="166">
        <f t="shared" si="14"/>
        <v>819.8144152339728</v>
      </c>
      <c r="M59" s="166">
        <f t="shared" si="14"/>
        <v>1019.8144152339728</v>
      </c>
      <c r="N59" s="167">
        <f t="shared" si="14"/>
        <v>1219.8144152339728</v>
      </c>
      <c r="P59" s="247"/>
      <c r="Q59" s="158">
        <f>Q60-0.25</f>
        <v>1.5</v>
      </c>
      <c r="R59" s="159">
        <f aca="true" t="shared" si="16" ref="R59:Z62">R$57-($B$55/$E59)</f>
        <v>1072.8916568458071</v>
      </c>
      <c r="S59" s="159">
        <f t="shared" si="16"/>
        <v>1272.8916568458071</v>
      </c>
      <c r="T59" s="159">
        <f t="shared" si="16"/>
        <v>1472.8916568458071</v>
      </c>
      <c r="U59" s="159">
        <f t="shared" si="16"/>
        <v>1672.8916568458071</v>
      </c>
      <c r="V59" s="159">
        <f t="shared" si="16"/>
        <v>1872.8916568458071</v>
      </c>
      <c r="W59" s="159">
        <f t="shared" si="16"/>
        <v>2072.891656845807</v>
      </c>
      <c r="X59" s="159">
        <f t="shared" si="16"/>
        <v>2272.891656845807</v>
      </c>
      <c r="Y59" s="159">
        <f t="shared" si="16"/>
        <v>2472.891656845807</v>
      </c>
      <c r="Z59" s="159">
        <f t="shared" si="16"/>
        <v>2672.891656845807</v>
      </c>
    </row>
    <row r="60" spans="1:26" ht="13.5" customHeight="1" thickBot="1">
      <c r="A60" s="156"/>
      <c r="B60" s="157"/>
      <c r="C60" s="195"/>
      <c r="D60" s="247"/>
      <c r="E60" s="168">
        <f>B59</f>
        <v>1.75</v>
      </c>
      <c r="F60" s="164">
        <f t="shared" si="14"/>
        <v>436.5552130576907</v>
      </c>
      <c r="G60" s="165">
        <f t="shared" si="14"/>
        <v>636.5552130576907</v>
      </c>
      <c r="H60" s="165">
        <f t="shared" si="14"/>
        <v>836.5552130576907</v>
      </c>
      <c r="I60" s="165">
        <f t="shared" si="14"/>
        <v>1036.5552130576907</v>
      </c>
      <c r="J60" s="166">
        <f t="shared" si="14"/>
        <v>1236.5552130576907</v>
      </c>
      <c r="K60" s="166">
        <f t="shared" si="14"/>
        <v>1436.5552130576907</v>
      </c>
      <c r="L60" s="166">
        <f t="shared" si="14"/>
        <v>1636.5552130576907</v>
      </c>
      <c r="M60" s="166">
        <f t="shared" si="14"/>
        <v>1836.5552130576907</v>
      </c>
      <c r="N60" s="167">
        <f t="shared" si="14"/>
        <v>2036.5552130576907</v>
      </c>
      <c r="P60" s="247"/>
      <c r="Q60" s="168">
        <f>E60</f>
        <v>1.75</v>
      </c>
      <c r="R60" s="159">
        <f>R$57-($B$55/$E60)</f>
        <v>1682.0499915821206</v>
      </c>
      <c r="S60" s="159">
        <f t="shared" si="16"/>
        <v>1882.0499915821206</v>
      </c>
      <c r="T60" s="159">
        <f t="shared" si="16"/>
        <v>2082.0499915821206</v>
      </c>
      <c r="U60" s="159">
        <f t="shared" si="16"/>
        <v>2282.0499915821206</v>
      </c>
      <c r="V60" s="159">
        <f t="shared" si="16"/>
        <v>2482.0499915821206</v>
      </c>
      <c r="W60" s="159">
        <f t="shared" si="16"/>
        <v>2682.0499915821206</v>
      </c>
      <c r="X60" s="159">
        <f t="shared" si="16"/>
        <v>2882.0499915821206</v>
      </c>
      <c r="Y60" s="159">
        <f t="shared" si="16"/>
        <v>3082.0499915821206</v>
      </c>
      <c r="Z60" s="159">
        <f t="shared" si="16"/>
        <v>3282.0499915821206</v>
      </c>
    </row>
    <row r="61" spans="1:26" ht="13.5" customHeight="1" thickBot="1">
      <c r="A61" s="169" t="s">
        <v>85</v>
      </c>
      <c r="B61" s="197">
        <f>B6</f>
        <v>6200</v>
      </c>
      <c r="C61" s="195"/>
      <c r="D61" s="247"/>
      <c r="E61" s="158">
        <f>E60+0.25</f>
        <v>2</v>
      </c>
      <c r="F61" s="164">
        <f t="shared" si="14"/>
        <v>1049.1108114254794</v>
      </c>
      <c r="G61" s="165">
        <f t="shared" si="14"/>
        <v>1249.1108114254794</v>
      </c>
      <c r="H61" s="165">
        <f t="shared" si="14"/>
        <v>1449.1108114254794</v>
      </c>
      <c r="I61" s="166">
        <f t="shared" si="14"/>
        <v>1649.1108114254794</v>
      </c>
      <c r="J61" s="166">
        <f t="shared" si="14"/>
        <v>1849.1108114254794</v>
      </c>
      <c r="K61" s="166">
        <f t="shared" si="14"/>
        <v>2049.1108114254794</v>
      </c>
      <c r="L61" s="166">
        <f t="shared" si="14"/>
        <v>2249.1108114254794</v>
      </c>
      <c r="M61" s="166">
        <f t="shared" si="14"/>
        <v>2449.1108114254794</v>
      </c>
      <c r="N61" s="167">
        <f t="shared" si="14"/>
        <v>2649.1108114254794</v>
      </c>
      <c r="P61" s="247"/>
      <c r="Q61" s="158">
        <f>Q60+0.25</f>
        <v>2</v>
      </c>
      <c r="R61" s="159">
        <f t="shared" si="16"/>
        <v>2138.9187426343556</v>
      </c>
      <c r="S61" s="159">
        <f t="shared" si="16"/>
        <v>2338.9187426343556</v>
      </c>
      <c r="T61" s="159">
        <f t="shared" si="16"/>
        <v>2538.9187426343556</v>
      </c>
      <c r="U61" s="159">
        <f t="shared" si="16"/>
        <v>2738.9187426343556</v>
      </c>
      <c r="V61" s="159">
        <f t="shared" si="16"/>
        <v>2938.9187426343556</v>
      </c>
      <c r="W61" s="159">
        <f t="shared" si="16"/>
        <v>3138.9187426343556</v>
      </c>
      <c r="X61" s="159">
        <f t="shared" si="16"/>
        <v>3338.9187426343556</v>
      </c>
      <c r="Y61" s="159">
        <f t="shared" si="16"/>
        <v>3538.9187426343556</v>
      </c>
      <c r="Z61" s="159">
        <f t="shared" si="16"/>
        <v>3738.9187426343556</v>
      </c>
    </row>
    <row r="62" spans="1:26" ht="13.5" customHeight="1" thickBot="1">
      <c r="A62" s="171" t="s">
        <v>75</v>
      </c>
      <c r="B62" s="170">
        <f>D6</f>
        <v>63</v>
      </c>
      <c r="C62" s="198"/>
      <c r="D62" s="248"/>
      <c r="E62" s="158">
        <f>E61+0.25</f>
        <v>2.25</v>
      </c>
      <c r="F62" s="172">
        <f t="shared" si="14"/>
        <v>1525.542943489315</v>
      </c>
      <c r="G62" s="173">
        <f>G$57-($B$57/$E62)</f>
        <v>1725.542943489315</v>
      </c>
      <c r="H62" s="174">
        <f t="shared" si="14"/>
        <v>1925.542943489315</v>
      </c>
      <c r="I62" s="174">
        <f t="shared" si="14"/>
        <v>2125.542943489315</v>
      </c>
      <c r="J62" s="174">
        <f t="shared" si="14"/>
        <v>2325.542943489315</v>
      </c>
      <c r="K62" s="174">
        <f t="shared" si="14"/>
        <v>2525.542943489315</v>
      </c>
      <c r="L62" s="174">
        <f t="shared" si="14"/>
        <v>2725.542943489315</v>
      </c>
      <c r="M62" s="174">
        <f t="shared" si="14"/>
        <v>2925.542943489315</v>
      </c>
      <c r="N62" s="175">
        <f t="shared" si="14"/>
        <v>3125.542943489315</v>
      </c>
      <c r="P62" s="248"/>
      <c r="Q62" s="158">
        <f>Q61+0.25</f>
        <v>2.25</v>
      </c>
      <c r="R62" s="159">
        <f t="shared" si="16"/>
        <v>2494.2611045638714</v>
      </c>
      <c r="S62" s="159">
        <f>S$57-($B$55/$E62)</f>
        <v>2694.2611045638714</v>
      </c>
      <c r="T62" s="159">
        <f t="shared" si="16"/>
        <v>2894.2611045638714</v>
      </c>
      <c r="U62" s="159">
        <f t="shared" si="16"/>
        <v>3094.2611045638714</v>
      </c>
      <c r="V62" s="159">
        <f t="shared" si="16"/>
        <v>3294.2611045638714</v>
      </c>
      <c r="W62" s="159">
        <f t="shared" si="16"/>
        <v>3494.2611045638714</v>
      </c>
      <c r="X62" s="159">
        <f t="shared" si="16"/>
        <v>3694.2611045638714</v>
      </c>
      <c r="Y62" s="159">
        <f t="shared" si="16"/>
        <v>3894.2611045638714</v>
      </c>
      <c r="Z62" s="159">
        <f t="shared" si="16"/>
        <v>4094.2611045638714</v>
      </c>
    </row>
    <row r="63" spans="1:3" ht="13.5" customHeight="1" thickBot="1">
      <c r="A63" s="176" t="s">
        <v>76</v>
      </c>
      <c r="B63" s="177">
        <f>B61-B62</f>
        <v>6137</v>
      </c>
      <c r="C63" s="198"/>
    </row>
    <row r="64" ht="13.5" customHeight="1"/>
    <row r="65" ht="13.5" customHeight="1"/>
    <row r="66" spans="1:2" ht="13.5" customHeight="1" thickBot="1">
      <c r="A66" s="251" t="s">
        <v>102</v>
      </c>
      <c r="B66" s="251"/>
    </row>
    <row r="67" spans="1:26" ht="19.5" customHeight="1" thickBot="1">
      <c r="A67" s="135" t="s">
        <v>86</v>
      </c>
      <c r="B67" s="136"/>
      <c r="C67" s="137"/>
      <c r="D67" s="242" t="s">
        <v>87</v>
      </c>
      <c r="E67" s="249"/>
      <c r="F67" s="249"/>
      <c r="G67" s="249"/>
      <c r="H67" s="249"/>
      <c r="I67" s="249"/>
      <c r="J67" s="249"/>
      <c r="K67" s="249"/>
      <c r="L67" s="249"/>
      <c r="M67" s="249"/>
      <c r="N67" s="243"/>
      <c r="P67" s="242" t="s">
        <v>88</v>
      </c>
      <c r="Q67" s="249"/>
      <c r="R67" s="249"/>
      <c r="S67" s="249"/>
      <c r="T67" s="249"/>
      <c r="U67" s="249"/>
      <c r="V67" s="249"/>
      <c r="W67" s="249"/>
      <c r="X67" s="249"/>
      <c r="Y67" s="249"/>
      <c r="Z67" s="243"/>
    </row>
    <row r="68" spans="1:26" ht="13.5" customHeight="1" thickBot="1">
      <c r="A68" s="138" t="s">
        <v>66</v>
      </c>
      <c r="B68" s="241">
        <f>INDEX(Graansorghum!K9:M13,MATCH($B$72,Sorgopbrengspeil,0),2)</f>
        <v>5690.956680169659</v>
      </c>
      <c r="C68" s="192"/>
      <c r="D68" s="140"/>
      <c r="E68" s="141"/>
      <c r="F68" s="142"/>
      <c r="G68" s="143"/>
      <c r="H68" s="142"/>
      <c r="I68" s="142"/>
      <c r="J68" s="142" t="s">
        <v>84</v>
      </c>
      <c r="K68" s="144"/>
      <c r="L68" s="142"/>
      <c r="M68" s="144"/>
      <c r="N68" s="142"/>
      <c r="P68" s="140"/>
      <c r="Q68" s="141"/>
      <c r="R68" s="142"/>
      <c r="S68" s="143"/>
      <c r="T68" s="142"/>
      <c r="U68" s="142"/>
      <c r="V68" s="142" t="s">
        <v>84</v>
      </c>
      <c r="W68" s="144"/>
      <c r="X68" s="142"/>
      <c r="Y68" s="144"/>
      <c r="Z68" s="142"/>
    </row>
    <row r="69" spans="1:26" ht="13.5" customHeight="1" thickBot="1">
      <c r="A69" s="145" t="s">
        <v>68</v>
      </c>
      <c r="B69" s="241">
        <f>INDEX(Graansorghum!K9:M13,MATCH($B$72,Sorgopbrengspeil,0),3)</f>
        <v>2604.6161231891856</v>
      </c>
      <c r="C69" s="192"/>
      <c r="D69" s="242" t="s">
        <v>69</v>
      </c>
      <c r="E69" s="243"/>
      <c r="F69" s="148">
        <f>G69-200</f>
        <v>2700</v>
      </c>
      <c r="G69" s="148">
        <f>H69-200</f>
        <v>2900</v>
      </c>
      <c r="H69" s="148">
        <f>I69-200</f>
        <v>3100</v>
      </c>
      <c r="I69" s="148">
        <f>J69-200</f>
        <v>3300</v>
      </c>
      <c r="J69" s="147">
        <f>B74</f>
        <v>3500</v>
      </c>
      <c r="K69" s="148">
        <f>J69+200</f>
        <v>3700</v>
      </c>
      <c r="L69" s="148">
        <f>K69+200</f>
        <v>3900</v>
      </c>
      <c r="M69" s="148">
        <f>L69+200</f>
        <v>4100</v>
      </c>
      <c r="N69" s="148">
        <f>M69+200</f>
        <v>4300</v>
      </c>
      <c r="P69" s="242" t="s">
        <v>69</v>
      </c>
      <c r="Q69" s="243"/>
      <c r="R69" s="148">
        <f>S69-200</f>
        <v>2700</v>
      </c>
      <c r="S69" s="148">
        <f>T69-200</f>
        <v>2900</v>
      </c>
      <c r="T69" s="148">
        <f>U69-200</f>
        <v>3100</v>
      </c>
      <c r="U69" s="148">
        <f>V69-200</f>
        <v>3300</v>
      </c>
      <c r="V69" s="149">
        <f>J69</f>
        <v>3500</v>
      </c>
      <c r="W69" s="148">
        <f>V69+200</f>
        <v>3700</v>
      </c>
      <c r="X69" s="148">
        <f>W69+200</f>
        <v>3900</v>
      </c>
      <c r="Y69" s="148">
        <f>X69+200</f>
        <v>4100</v>
      </c>
      <c r="Z69" s="148">
        <f>Y69+200</f>
        <v>4300</v>
      </c>
    </row>
    <row r="70" spans="1:26" ht="13.5" customHeight="1" thickBot="1">
      <c r="A70" s="150" t="s">
        <v>70</v>
      </c>
      <c r="B70" s="151">
        <f>B69+B68</f>
        <v>8295.572803358846</v>
      </c>
      <c r="C70" s="193"/>
      <c r="D70" s="244" t="s">
        <v>71</v>
      </c>
      <c r="E70" s="245"/>
      <c r="F70" s="148">
        <f aca="true" t="shared" si="17" ref="F70:N70">F69-$B$75</f>
        <v>2637</v>
      </c>
      <c r="G70" s="148">
        <f t="shared" si="17"/>
        <v>2837</v>
      </c>
      <c r="H70" s="148">
        <f t="shared" si="17"/>
        <v>3037</v>
      </c>
      <c r="I70" s="148">
        <f t="shared" si="17"/>
        <v>3237</v>
      </c>
      <c r="J70" s="149">
        <f t="shared" si="17"/>
        <v>3437</v>
      </c>
      <c r="K70" s="148">
        <f t="shared" si="17"/>
        <v>3637</v>
      </c>
      <c r="L70" s="148">
        <f t="shared" si="17"/>
        <v>3837</v>
      </c>
      <c r="M70" s="148">
        <f t="shared" si="17"/>
        <v>4037</v>
      </c>
      <c r="N70" s="148">
        <f t="shared" si="17"/>
        <v>4237</v>
      </c>
      <c r="P70" s="244" t="s">
        <v>71</v>
      </c>
      <c r="Q70" s="245"/>
      <c r="R70" s="148">
        <f>R69-$B$75</f>
        <v>2637</v>
      </c>
      <c r="S70" s="148">
        <f aca="true" t="shared" si="18" ref="S70:Z70">S69-$B$75</f>
        <v>2837</v>
      </c>
      <c r="T70" s="148">
        <f t="shared" si="18"/>
        <v>3037</v>
      </c>
      <c r="U70" s="148">
        <f t="shared" si="18"/>
        <v>3237</v>
      </c>
      <c r="V70" s="149">
        <f t="shared" si="18"/>
        <v>3437</v>
      </c>
      <c r="W70" s="148">
        <f t="shared" si="18"/>
        <v>3637</v>
      </c>
      <c r="X70" s="148">
        <f t="shared" si="18"/>
        <v>3837</v>
      </c>
      <c r="Y70" s="148">
        <f t="shared" si="18"/>
        <v>4037</v>
      </c>
      <c r="Z70" s="148">
        <f t="shared" si="18"/>
        <v>4237</v>
      </c>
    </row>
    <row r="71" spans="1:26" ht="13.5" customHeight="1" thickBot="1">
      <c r="A71" s="156"/>
      <c r="B71" s="157"/>
      <c r="C71" s="195"/>
      <c r="D71" s="246" t="s">
        <v>72</v>
      </c>
      <c r="E71" s="158">
        <f>E72-0.25</f>
        <v>2.5</v>
      </c>
      <c r="F71" s="159">
        <f>F$70-($B$70/$E71)</f>
        <v>-681.2291213435383</v>
      </c>
      <c r="G71" s="159">
        <f aca="true" t="shared" si="19" ref="G71:N71">G$70-($B$70/$E71)</f>
        <v>-481.2291213435383</v>
      </c>
      <c r="H71" s="159">
        <f t="shared" si="19"/>
        <v>-281.2291213435383</v>
      </c>
      <c r="I71" s="159">
        <f t="shared" si="19"/>
        <v>-81.22912134353828</v>
      </c>
      <c r="J71" s="159">
        <f t="shared" si="19"/>
        <v>118.77087865646172</v>
      </c>
      <c r="K71" s="159">
        <f t="shared" si="19"/>
        <v>318.7708786564617</v>
      </c>
      <c r="L71" s="159">
        <f t="shared" si="19"/>
        <v>518.7708786564617</v>
      </c>
      <c r="M71" s="159">
        <f t="shared" si="19"/>
        <v>718.7708786564617</v>
      </c>
      <c r="N71" s="159">
        <f t="shared" si="19"/>
        <v>918.7708786564617</v>
      </c>
      <c r="P71" s="246" t="s">
        <v>72</v>
      </c>
      <c r="Q71" s="158">
        <f>Q72-0.25</f>
        <v>2.5</v>
      </c>
      <c r="R71" s="159">
        <f>R$70-($B$68/$E71)</f>
        <v>360.6173279321365</v>
      </c>
      <c r="S71" s="159">
        <f aca="true" t="shared" si="20" ref="S71:Z71">S$70-($B$68/$E71)</f>
        <v>560.6173279321365</v>
      </c>
      <c r="T71" s="159">
        <f t="shared" si="20"/>
        <v>760.6173279321365</v>
      </c>
      <c r="U71" s="159">
        <f t="shared" si="20"/>
        <v>960.6173279321365</v>
      </c>
      <c r="V71" s="159">
        <f t="shared" si="20"/>
        <v>1160.6173279321365</v>
      </c>
      <c r="W71" s="159">
        <f t="shared" si="20"/>
        <v>1360.6173279321365</v>
      </c>
      <c r="X71" s="159">
        <f t="shared" si="20"/>
        <v>1560.6173279321365</v>
      </c>
      <c r="Y71" s="159">
        <f t="shared" si="20"/>
        <v>1760.6173279321365</v>
      </c>
      <c r="Z71" s="159">
        <f t="shared" si="20"/>
        <v>1960.6173279321365</v>
      </c>
    </row>
    <row r="72" spans="1:26" ht="13.5" customHeight="1" thickBot="1">
      <c r="A72" s="163" t="s">
        <v>73</v>
      </c>
      <c r="B72" s="288">
        <f>Graansorghum!F5</f>
        <v>3</v>
      </c>
      <c r="C72" s="196"/>
      <c r="D72" s="247"/>
      <c r="E72" s="158">
        <f>E73-0.25</f>
        <v>2.75</v>
      </c>
      <c r="F72" s="159">
        <f aca="true" t="shared" si="21" ref="F72:N75">F$70-($B$70/$E72)</f>
        <v>-379.5719284941256</v>
      </c>
      <c r="G72" s="159">
        <f t="shared" si="21"/>
        <v>-179.5719284941256</v>
      </c>
      <c r="H72" s="159">
        <f t="shared" si="21"/>
        <v>20.428071505874414</v>
      </c>
      <c r="I72" s="159">
        <f t="shared" si="21"/>
        <v>220.4280715058744</v>
      </c>
      <c r="J72" s="159">
        <f t="shared" si="21"/>
        <v>420.4280715058744</v>
      </c>
      <c r="K72" s="159">
        <f t="shared" si="21"/>
        <v>620.4280715058744</v>
      </c>
      <c r="L72" s="159">
        <f t="shared" si="21"/>
        <v>820.4280715058744</v>
      </c>
      <c r="M72" s="159">
        <f t="shared" si="21"/>
        <v>1020.4280715058744</v>
      </c>
      <c r="N72" s="159">
        <f t="shared" si="21"/>
        <v>1220.4280715058744</v>
      </c>
      <c r="P72" s="247"/>
      <c r="Q72" s="158">
        <f>Q73-0.25</f>
        <v>2.75</v>
      </c>
      <c r="R72" s="159">
        <f aca="true" t="shared" si="22" ref="R72:Z75">R$70-($B$68/$E72)</f>
        <v>567.561207211033</v>
      </c>
      <c r="S72" s="159">
        <f t="shared" si="22"/>
        <v>767.561207211033</v>
      </c>
      <c r="T72" s="159">
        <f t="shared" si="22"/>
        <v>967.561207211033</v>
      </c>
      <c r="U72" s="159">
        <f t="shared" si="22"/>
        <v>1167.561207211033</v>
      </c>
      <c r="V72" s="159">
        <f t="shared" si="22"/>
        <v>1367.561207211033</v>
      </c>
      <c r="W72" s="159">
        <f t="shared" si="22"/>
        <v>1567.561207211033</v>
      </c>
      <c r="X72" s="159">
        <f t="shared" si="22"/>
        <v>1767.561207211033</v>
      </c>
      <c r="Y72" s="159">
        <f t="shared" si="22"/>
        <v>1967.561207211033</v>
      </c>
      <c r="Z72" s="159">
        <f t="shared" si="22"/>
        <v>2167.561207211033</v>
      </c>
    </row>
    <row r="73" spans="1:26" ht="13.5" customHeight="1" thickBot="1">
      <c r="A73" s="156"/>
      <c r="B73" s="157"/>
      <c r="C73" s="195"/>
      <c r="D73" s="247"/>
      <c r="E73" s="168">
        <f>B72</f>
        <v>3</v>
      </c>
      <c r="F73" s="159">
        <f t="shared" si="21"/>
        <v>-128.19093445294857</v>
      </c>
      <c r="G73" s="159">
        <f t="shared" si="21"/>
        <v>71.80906554705143</v>
      </c>
      <c r="H73" s="159">
        <f t="shared" si="21"/>
        <v>271.80906554705143</v>
      </c>
      <c r="I73" s="159">
        <f t="shared" si="21"/>
        <v>471.80906554705143</v>
      </c>
      <c r="J73" s="159">
        <f t="shared" si="21"/>
        <v>671.8090655470514</v>
      </c>
      <c r="K73" s="159">
        <f t="shared" si="21"/>
        <v>871.8090655470514</v>
      </c>
      <c r="L73" s="159">
        <f t="shared" si="21"/>
        <v>1071.8090655470514</v>
      </c>
      <c r="M73" s="159">
        <f t="shared" si="21"/>
        <v>1271.8090655470514</v>
      </c>
      <c r="N73" s="159">
        <f t="shared" si="21"/>
        <v>1471.8090655470514</v>
      </c>
      <c r="P73" s="247"/>
      <c r="Q73" s="168">
        <f>E73</f>
        <v>3</v>
      </c>
      <c r="R73" s="159">
        <f t="shared" si="22"/>
        <v>740.0144399434469</v>
      </c>
      <c r="S73" s="159">
        <f t="shared" si="22"/>
        <v>940.0144399434469</v>
      </c>
      <c r="T73" s="159">
        <f t="shared" si="22"/>
        <v>1140.0144399434469</v>
      </c>
      <c r="U73" s="159">
        <f t="shared" si="22"/>
        <v>1340.0144399434469</v>
      </c>
      <c r="V73" s="159">
        <f t="shared" si="22"/>
        <v>1540.0144399434469</v>
      </c>
      <c r="W73" s="159">
        <f t="shared" si="22"/>
        <v>1740.0144399434469</v>
      </c>
      <c r="X73" s="159">
        <f t="shared" si="22"/>
        <v>1940.0144399434469</v>
      </c>
      <c r="Y73" s="159">
        <f t="shared" si="22"/>
        <v>2140.0144399434466</v>
      </c>
      <c r="Z73" s="159">
        <f t="shared" si="22"/>
        <v>2340.0144399434466</v>
      </c>
    </row>
    <row r="74" spans="1:26" ht="13.5" customHeight="1" thickBot="1">
      <c r="A74" s="169" t="s">
        <v>89</v>
      </c>
      <c r="B74" s="197">
        <f>B7</f>
        <v>3500</v>
      </c>
      <c r="C74" s="195"/>
      <c r="D74" s="247"/>
      <c r="E74" s="158">
        <f>E73+0.25</f>
        <v>3.25</v>
      </c>
      <c r="F74" s="159">
        <f t="shared" si="21"/>
        <v>84.51606050497048</v>
      </c>
      <c r="G74" s="159">
        <f t="shared" si="21"/>
        <v>284.5160605049705</v>
      </c>
      <c r="H74" s="159">
        <f t="shared" si="21"/>
        <v>484.5160605049705</v>
      </c>
      <c r="I74" s="159">
        <f t="shared" si="21"/>
        <v>684.5160605049705</v>
      </c>
      <c r="J74" s="159">
        <f t="shared" si="21"/>
        <v>884.5160605049705</v>
      </c>
      <c r="K74" s="159">
        <f t="shared" si="21"/>
        <v>1084.5160605049705</v>
      </c>
      <c r="L74" s="159">
        <f t="shared" si="21"/>
        <v>1284.5160605049705</v>
      </c>
      <c r="M74" s="159">
        <f t="shared" si="21"/>
        <v>1484.5160605049705</v>
      </c>
      <c r="N74" s="159">
        <f t="shared" si="21"/>
        <v>1684.5160605049705</v>
      </c>
      <c r="P74" s="247"/>
      <c r="Q74" s="158">
        <f>Q73+0.25</f>
        <v>3.25</v>
      </c>
      <c r="R74" s="159">
        <f t="shared" si="22"/>
        <v>885.9364061016433</v>
      </c>
      <c r="S74" s="159">
        <f t="shared" si="22"/>
        <v>1085.9364061016433</v>
      </c>
      <c r="T74" s="159">
        <f t="shared" si="22"/>
        <v>1285.9364061016433</v>
      </c>
      <c r="U74" s="159">
        <f t="shared" si="22"/>
        <v>1485.9364061016433</v>
      </c>
      <c r="V74" s="159">
        <f t="shared" si="22"/>
        <v>1685.9364061016433</v>
      </c>
      <c r="W74" s="159">
        <f t="shared" si="22"/>
        <v>1885.9364061016433</v>
      </c>
      <c r="X74" s="159">
        <f t="shared" si="22"/>
        <v>2085.936406101643</v>
      </c>
      <c r="Y74" s="159">
        <f t="shared" si="22"/>
        <v>2285.936406101643</v>
      </c>
      <c r="Z74" s="159">
        <f t="shared" si="22"/>
        <v>2485.936406101643</v>
      </c>
    </row>
    <row r="75" spans="1:26" ht="13.5" customHeight="1" thickBot="1">
      <c r="A75" s="171" t="s">
        <v>75</v>
      </c>
      <c r="B75" s="170">
        <f>D7</f>
        <v>63</v>
      </c>
      <c r="C75" s="198"/>
      <c r="D75" s="248"/>
      <c r="E75" s="158">
        <f>E74+0.25</f>
        <v>3.5</v>
      </c>
      <c r="F75" s="159">
        <f t="shared" si="21"/>
        <v>266.8363418974727</v>
      </c>
      <c r="G75" s="159">
        <f>G$70-($B$70/$E75)</f>
        <v>466.8363418974727</v>
      </c>
      <c r="H75" s="159">
        <f t="shared" si="21"/>
        <v>666.8363418974727</v>
      </c>
      <c r="I75" s="159">
        <f t="shared" si="21"/>
        <v>866.8363418974727</v>
      </c>
      <c r="J75" s="159">
        <f t="shared" si="21"/>
        <v>1066.8363418974727</v>
      </c>
      <c r="K75" s="159">
        <f t="shared" si="21"/>
        <v>1266.8363418974727</v>
      </c>
      <c r="L75" s="159">
        <f t="shared" si="21"/>
        <v>1466.8363418974727</v>
      </c>
      <c r="M75" s="159">
        <f t="shared" si="21"/>
        <v>1666.8363418974727</v>
      </c>
      <c r="N75" s="159">
        <f t="shared" si="21"/>
        <v>1866.8363418974727</v>
      </c>
      <c r="P75" s="248"/>
      <c r="Q75" s="158">
        <f>Q74+0.25</f>
        <v>3.5</v>
      </c>
      <c r="R75" s="159">
        <f>R$70-($B$68/$E75)</f>
        <v>1011.012377094383</v>
      </c>
      <c r="S75" s="159">
        <f t="shared" si="22"/>
        <v>1211.012377094383</v>
      </c>
      <c r="T75" s="159">
        <f t="shared" si="22"/>
        <v>1411.012377094383</v>
      </c>
      <c r="U75" s="159">
        <f t="shared" si="22"/>
        <v>1611.012377094383</v>
      </c>
      <c r="V75" s="159">
        <f t="shared" si="22"/>
        <v>1811.012377094383</v>
      </c>
      <c r="W75" s="159">
        <f t="shared" si="22"/>
        <v>2011.012377094383</v>
      </c>
      <c r="X75" s="159">
        <f t="shared" si="22"/>
        <v>2211.012377094383</v>
      </c>
      <c r="Y75" s="159">
        <f t="shared" si="22"/>
        <v>2411.012377094383</v>
      </c>
      <c r="Z75" s="159">
        <f t="shared" si="22"/>
        <v>2611.012377094383</v>
      </c>
    </row>
    <row r="76" spans="1:3" ht="13.5" customHeight="1" thickBot="1">
      <c r="A76" s="176" t="s">
        <v>76</v>
      </c>
      <c r="B76" s="199">
        <f>B74-B75</f>
        <v>3437</v>
      </c>
      <c r="C76" s="198"/>
    </row>
  </sheetData>
  <sheetProtection sheet="1" selectLockedCells="1"/>
  <mergeCells count="45">
    <mergeCell ref="A40:B40"/>
    <mergeCell ref="A14:B14"/>
    <mergeCell ref="A27:B27"/>
    <mergeCell ref="A53:B53"/>
    <mergeCell ref="A66:B66"/>
    <mergeCell ref="D15:N15"/>
    <mergeCell ref="D28:N28"/>
    <mergeCell ref="D56:E56"/>
    <mergeCell ref="P31:Q31"/>
    <mergeCell ref="D32:D36"/>
    <mergeCell ref="P15:Z15"/>
    <mergeCell ref="D17:E17"/>
    <mergeCell ref="P17:Q17"/>
    <mergeCell ref="D18:E18"/>
    <mergeCell ref="P18:Q18"/>
    <mergeCell ref="D19:D23"/>
    <mergeCell ref="P19:P23"/>
    <mergeCell ref="D54:N54"/>
    <mergeCell ref="P54:Z54"/>
    <mergeCell ref="P28:Z28"/>
    <mergeCell ref="D30:E30"/>
    <mergeCell ref="P30:Q30"/>
    <mergeCell ref="D41:N41"/>
    <mergeCell ref="P41:Z41"/>
    <mergeCell ref="D43:E43"/>
    <mergeCell ref="P43:Q43"/>
    <mergeCell ref="D31:E31"/>
    <mergeCell ref="D71:D75"/>
    <mergeCell ref="P71:P75"/>
    <mergeCell ref="D67:N67"/>
    <mergeCell ref="P67:Z67"/>
    <mergeCell ref="D69:E69"/>
    <mergeCell ref="P32:P36"/>
    <mergeCell ref="D44:E44"/>
    <mergeCell ref="P44:Q44"/>
    <mergeCell ref="D45:D49"/>
    <mergeCell ref="P45:P49"/>
    <mergeCell ref="P69:Q69"/>
    <mergeCell ref="D70:E70"/>
    <mergeCell ref="P70:Q70"/>
    <mergeCell ref="P56:Q56"/>
    <mergeCell ref="D57:E57"/>
    <mergeCell ref="P57:Q57"/>
    <mergeCell ref="D58:D62"/>
    <mergeCell ref="P58:P62"/>
  </mergeCells>
  <conditionalFormatting sqref="F19:N23">
    <cfRule type="cellIs" priority="57" dxfId="0" operator="lessThan" stopIfTrue="1">
      <formula>1</formula>
    </cfRule>
    <cfRule type="cellIs" priority="58" dxfId="1" operator="greaterThan" stopIfTrue="1">
      <formula>1</formula>
    </cfRule>
    <cfRule type="cellIs" priority="59" dxfId="0" operator="lessThan" stopIfTrue="1">
      <formula>1</formula>
    </cfRule>
    <cfRule type="cellIs" priority="60" dxfId="1" operator="greaterThan" stopIfTrue="1">
      <formula>1</formula>
    </cfRule>
  </conditionalFormatting>
  <conditionalFormatting sqref="F58:N62">
    <cfRule type="cellIs" priority="53" dxfId="0" operator="lessThan" stopIfTrue="1">
      <formula>1</formula>
    </cfRule>
    <cfRule type="cellIs" priority="54" dxfId="1" operator="greaterThan" stopIfTrue="1">
      <formula>1</formula>
    </cfRule>
    <cfRule type="cellIs" priority="55" dxfId="0" operator="lessThan" stopIfTrue="1">
      <formula>1</formula>
    </cfRule>
    <cfRule type="cellIs" priority="56" dxfId="1" operator="greaterThan" stopIfTrue="1">
      <formula>1</formula>
    </cfRule>
  </conditionalFormatting>
  <conditionalFormatting sqref="R19:Z23">
    <cfRule type="cellIs" priority="49" dxfId="0" operator="lessThan" stopIfTrue="1">
      <formula>1</formula>
    </cfRule>
    <cfRule type="cellIs" priority="50" dxfId="1" operator="greaterThan" stopIfTrue="1">
      <formula>1</formula>
    </cfRule>
    <cfRule type="cellIs" priority="51" dxfId="0" operator="lessThan" stopIfTrue="1">
      <formula>1</formula>
    </cfRule>
    <cfRule type="cellIs" priority="52" dxfId="1" operator="greaterThan" stopIfTrue="1">
      <formula>1</formula>
    </cfRule>
  </conditionalFormatting>
  <conditionalFormatting sqref="R58:Z62">
    <cfRule type="cellIs" priority="45" dxfId="0" operator="lessThan" stopIfTrue="1">
      <formula>1</formula>
    </cfRule>
    <cfRule type="cellIs" priority="46" dxfId="1" operator="greaterThan" stopIfTrue="1">
      <formula>1</formula>
    </cfRule>
    <cfRule type="cellIs" priority="47" dxfId="0" operator="lessThan" stopIfTrue="1">
      <formula>1</formula>
    </cfRule>
    <cfRule type="cellIs" priority="48" dxfId="1" operator="greaterThan" stopIfTrue="1">
      <formula>1</formula>
    </cfRule>
  </conditionalFormatting>
  <conditionalFormatting sqref="F45:N49">
    <cfRule type="cellIs" priority="41" dxfId="0" operator="lessThan" stopIfTrue="1">
      <formula>1</formula>
    </cfRule>
    <cfRule type="cellIs" priority="42" dxfId="1" operator="greaterThan" stopIfTrue="1">
      <formula>1</formula>
    </cfRule>
    <cfRule type="cellIs" priority="43" dxfId="0" operator="lessThan" stopIfTrue="1">
      <formula>1</formula>
    </cfRule>
    <cfRule type="cellIs" priority="44" dxfId="1" operator="greaterThan" stopIfTrue="1">
      <formula>1</formula>
    </cfRule>
  </conditionalFormatting>
  <conditionalFormatting sqref="R45:Z49">
    <cfRule type="cellIs" priority="37" dxfId="0" operator="lessThan" stopIfTrue="1">
      <formula>1</formula>
    </cfRule>
    <cfRule type="cellIs" priority="38" dxfId="1" operator="greaterThan" stopIfTrue="1">
      <formula>1</formula>
    </cfRule>
    <cfRule type="cellIs" priority="39" dxfId="0" operator="lessThan" stopIfTrue="1">
      <formula>1</formula>
    </cfRule>
    <cfRule type="cellIs" priority="40" dxfId="1" operator="greaterThan" stopIfTrue="1">
      <formula>1</formula>
    </cfRule>
  </conditionalFormatting>
  <conditionalFormatting sqref="F32:N36">
    <cfRule type="cellIs" priority="33" dxfId="0" operator="lessThan" stopIfTrue="1">
      <formula>1</formula>
    </cfRule>
    <cfRule type="cellIs" priority="34" dxfId="1" operator="greaterThan" stopIfTrue="1">
      <formula>1</formula>
    </cfRule>
    <cfRule type="cellIs" priority="35" dxfId="0" operator="lessThan" stopIfTrue="1">
      <formula>1</formula>
    </cfRule>
    <cfRule type="cellIs" priority="36" dxfId="1" operator="greaterThan" stopIfTrue="1">
      <formula>1</formula>
    </cfRule>
  </conditionalFormatting>
  <conditionalFormatting sqref="R32:Z36">
    <cfRule type="cellIs" priority="29" dxfId="0" operator="lessThan" stopIfTrue="1">
      <formula>1</formula>
    </cfRule>
    <cfRule type="cellIs" priority="30" dxfId="1" operator="greaterThan" stopIfTrue="1">
      <formula>1</formula>
    </cfRule>
    <cfRule type="cellIs" priority="31" dxfId="0" operator="lessThan" stopIfTrue="1">
      <formula>1</formula>
    </cfRule>
    <cfRule type="cellIs" priority="32" dxfId="1" operator="greaterThan" stopIfTrue="1">
      <formula>1</formula>
    </cfRule>
  </conditionalFormatting>
  <conditionalFormatting sqref="F71:N75">
    <cfRule type="cellIs" priority="9" dxfId="0" operator="lessThan" stopIfTrue="1">
      <formula>1</formula>
    </cfRule>
    <cfRule type="cellIs" priority="10" dxfId="1" operator="greaterThan" stopIfTrue="1">
      <formula>1</formula>
    </cfRule>
    <cfRule type="cellIs" priority="11" dxfId="0" operator="lessThan" stopIfTrue="1">
      <formula>1</formula>
    </cfRule>
    <cfRule type="cellIs" priority="12" dxfId="1" operator="greaterThan" stopIfTrue="1">
      <formula>1</formula>
    </cfRule>
  </conditionalFormatting>
  <conditionalFormatting sqref="R71:Z75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dataValidations count="5">
    <dataValidation type="list" allowBlank="1" showInputMessage="1" showErrorMessage="1" sqref="B20">
      <formula1>RRopbrengspeil</formula1>
    </dataValidation>
    <dataValidation type="list" allowBlank="1" showInputMessage="1" showErrorMessage="1" sqref="B33">
      <formula1>BTpbrengspeil</formula1>
    </dataValidation>
    <dataValidation type="list" allowBlank="1" showInputMessage="1" showErrorMessage="1" sqref="B46">
      <formula1>Sonopbrengspeil</formula1>
    </dataValidation>
    <dataValidation type="list" allowBlank="1" showInputMessage="1" showErrorMessage="1" sqref="B59">
      <formula1>Sojaopbrengspeil</formula1>
    </dataValidation>
    <dataValidation type="list" allowBlank="1" showInputMessage="1" showErrorMessage="1" sqref="B72">
      <formula1>Sorghopbrengspeil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2.8515625" style="2" customWidth="1"/>
    <col min="2" max="2" width="15.7109375" style="2" bestFit="1" customWidth="1"/>
    <col min="3" max="4" width="14.421875" style="2" customWidth="1"/>
    <col min="5" max="9" width="14.28125" style="2" customWidth="1"/>
    <col min="10" max="10" width="14.421875" style="2" customWidth="1"/>
    <col min="11" max="26" width="12.7109375" style="2" customWidth="1"/>
    <col min="27" max="27" width="9.140625" style="2" customWidth="1"/>
    <col min="28" max="16384" width="9.140625" style="2" customWidth="1"/>
  </cols>
  <sheetData>
    <row r="1" spans="1:11" ht="31.5" customHeight="1" thickBot="1">
      <c r="A1" s="261" t="s">
        <v>25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  <c r="K1" s="15"/>
    </row>
    <row r="2" spans="1:11" ht="16.5" thickBot="1">
      <c r="A2" s="17"/>
      <c r="B2" s="18"/>
      <c r="C2" s="19"/>
      <c r="D2" s="19"/>
      <c r="E2" s="12"/>
      <c r="F2" s="12"/>
      <c r="G2" s="12"/>
      <c r="H2" s="12"/>
      <c r="I2" s="6"/>
      <c r="J2" s="4"/>
      <c r="K2" s="15"/>
    </row>
    <row r="3" spans="1:11" ht="27" customHeight="1" thickBot="1">
      <c r="A3" s="264" t="s">
        <v>27</v>
      </c>
      <c r="B3" s="265"/>
      <c r="C3" s="265"/>
      <c r="D3" s="58"/>
      <c r="E3" s="70">
        <f>'Pryse + Sensatiwiteitsanali'!B24</f>
        <v>2484</v>
      </c>
      <c r="F3" s="58" t="s">
        <v>3</v>
      </c>
      <c r="G3" s="20"/>
      <c r="H3" s="20"/>
      <c r="I3" s="7"/>
      <c r="K3" s="15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8</v>
      </c>
      <c r="E5" s="88">
        <v>10</v>
      </c>
      <c r="F5" s="88">
        <v>12</v>
      </c>
      <c r="G5" s="88">
        <v>0</v>
      </c>
      <c r="H5" s="88">
        <v>0</v>
      </c>
      <c r="I5" s="88">
        <v>0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19872</v>
      </c>
      <c r="E6" s="66">
        <f t="shared" si="0"/>
        <v>24840</v>
      </c>
      <c r="F6" s="66">
        <f t="shared" si="0"/>
        <v>29808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4"/>
      <c r="K6" s="15"/>
    </row>
    <row r="7" spans="1:11" ht="13.5" thickBot="1">
      <c r="A7" s="108"/>
      <c r="B7" s="109"/>
      <c r="C7" s="109"/>
      <c r="D7" s="82"/>
      <c r="E7" s="82"/>
      <c r="F7" s="82"/>
      <c r="G7" s="82"/>
      <c r="H7" s="82"/>
      <c r="I7" s="82"/>
      <c r="J7" s="4"/>
      <c r="K7" s="15"/>
    </row>
    <row r="8" spans="1:11" ht="13.5" thickBot="1">
      <c r="A8" s="266" t="s">
        <v>30</v>
      </c>
      <c r="B8" s="267"/>
      <c r="C8" s="268"/>
      <c r="D8" s="83"/>
      <c r="E8" s="83"/>
      <c r="F8" s="83"/>
      <c r="G8" s="83"/>
      <c r="H8" s="83"/>
      <c r="I8" s="83"/>
      <c r="J8" s="4"/>
      <c r="K8" s="15"/>
    </row>
    <row r="9" spans="1:11" ht="12.75">
      <c r="A9" s="116" t="s">
        <v>31</v>
      </c>
      <c r="B9" s="117"/>
      <c r="C9" s="117"/>
      <c r="D9" s="59">
        <v>2400.75</v>
      </c>
      <c r="E9" s="59">
        <v>2837.25</v>
      </c>
      <c r="F9" s="59">
        <v>3273.75</v>
      </c>
      <c r="G9" s="59">
        <v>0</v>
      </c>
      <c r="H9" s="59">
        <v>0</v>
      </c>
      <c r="I9" s="59">
        <v>0</v>
      </c>
      <c r="J9" s="4"/>
      <c r="K9" s="15"/>
    </row>
    <row r="10" spans="1:11" ht="12.75">
      <c r="A10" s="113" t="s">
        <v>32</v>
      </c>
      <c r="B10" s="118"/>
      <c r="C10" s="118"/>
      <c r="D10" s="60">
        <v>5005.6</v>
      </c>
      <c r="E10" s="60">
        <v>6098</v>
      </c>
      <c r="F10" s="60">
        <v>7317.599999999999</v>
      </c>
      <c r="G10" s="60">
        <v>0</v>
      </c>
      <c r="H10" s="60">
        <v>0</v>
      </c>
      <c r="I10" s="60">
        <v>0</v>
      </c>
      <c r="J10" s="4"/>
      <c r="K10" s="15"/>
    </row>
    <row r="11" spans="1:11" ht="12.75">
      <c r="A11" s="113" t="s">
        <v>33</v>
      </c>
      <c r="B11" s="118"/>
      <c r="C11" s="118"/>
      <c r="D11" s="60">
        <v>532.4000000000001</v>
      </c>
      <c r="E11" s="60">
        <v>532.4000000000001</v>
      </c>
      <c r="F11" s="60">
        <v>532.4000000000001</v>
      </c>
      <c r="G11" s="60">
        <v>0</v>
      </c>
      <c r="H11" s="60">
        <v>0</v>
      </c>
      <c r="I11" s="60">
        <v>0</v>
      </c>
      <c r="J11" s="4"/>
      <c r="K11" s="15"/>
    </row>
    <row r="12" spans="1:11" ht="12.75">
      <c r="A12" s="113" t="s">
        <v>34</v>
      </c>
      <c r="B12" s="118"/>
      <c r="C12" s="118"/>
      <c r="D12" s="60">
        <v>945.1818559999999</v>
      </c>
      <c r="E12" s="60">
        <v>993.707856</v>
      </c>
      <c r="F12" s="60">
        <v>1042.233856</v>
      </c>
      <c r="G12" s="60">
        <v>0</v>
      </c>
      <c r="H12" s="60">
        <v>0</v>
      </c>
      <c r="I12" s="60">
        <v>0</v>
      </c>
      <c r="J12" s="4"/>
      <c r="K12" s="15"/>
    </row>
    <row r="13" spans="1:11" ht="12.75">
      <c r="A13" s="113" t="s">
        <v>35</v>
      </c>
      <c r="B13" s="118"/>
      <c r="C13" s="118"/>
      <c r="D13" s="60">
        <v>554.6093</v>
      </c>
      <c r="E13" s="60">
        <v>567.3693000000001</v>
      </c>
      <c r="F13" s="60">
        <v>580.1293000000001</v>
      </c>
      <c r="G13" s="60">
        <v>0</v>
      </c>
      <c r="H13" s="60">
        <v>0</v>
      </c>
      <c r="I13" s="60">
        <v>0</v>
      </c>
      <c r="J13" s="4"/>
      <c r="K13" s="15"/>
    </row>
    <row r="14" spans="1:11" ht="12.75">
      <c r="A14" s="113" t="s">
        <v>36</v>
      </c>
      <c r="B14" s="118"/>
      <c r="C14" s="118"/>
      <c r="D14" s="60">
        <v>651.1627</v>
      </c>
      <c r="E14" s="60">
        <v>651.1627</v>
      </c>
      <c r="F14" s="60">
        <v>651.1627</v>
      </c>
      <c r="G14" s="60">
        <v>0</v>
      </c>
      <c r="H14" s="60">
        <v>0</v>
      </c>
      <c r="I14" s="60">
        <v>0</v>
      </c>
      <c r="J14" s="4"/>
      <c r="K14" s="15"/>
    </row>
    <row r="15" spans="1:11" ht="12.75">
      <c r="A15" s="113" t="s">
        <v>37</v>
      </c>
      <c r="B15" s="118"/>
      <c r="C15" s="118"/>
      <c r="D15" s="60">
        <v>158</v>
      </c>
      <c r="E15" s="60">
        <v>158</v>
      </c>
      <c r="F15" s="60">
        <v>158</v>
      </c>
      <c r="G15" s="60">
        <v>0</v>
      </c>
      <c r="H15" s="60">
        <v>0</v>
      </c>
      <c r="I15" s="60">
        <v>0</v>
      </c>
      <c r="J15" s="4"/>
      <c r="K15" s="15"/>
    </row>
    <row r="16" spans="1:11" ht="12.75">
      <c r="A16" s="113" t="s">
        <v>38</v>
      </c>
      <c r="B16" s="118"/>
      <c r="C16" s="118"/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4"/>
      <c r="K16" s="15"/>
    </row>
    <row r="17" spans="1:11" ht="12.75">
      <c r="A17" s="121" t="s">
        <v>55</v>
      </c>
      <c r="B17" s="122"/>
      <c r="C17" s="122"/>
      <c r="D17" s="60">
        <v>2403.9055120000003</v>
      </c>
      <c r="E17" s="60">
        <v>2544.2059360000003</v>
      </c>
      <c r="F17" s="60">
        <v>2684.5063600000003</v>
      </c>
      <c r="G17" s="60">
        <v>0</v>
      </c>
      <c r="H17" s="60">
        <v>0</v>
      </c>
      <c r="I17" s="60">
        <v>0</v>
      </c>
      <c r="J17" s="4"/>
      <c r="K17" s="15"/>
    </row>
    <row r="18" spans="1:11" ht="12.75">
      <c r="A18" s="113" t="s">
        <v>39</v>
      </c>
      <c r="B18" s="118"/>
      <c r="C18" s="118"/>
      <c r="D18" s="60">
        <v>969.2595810344828</v>
      </c>
      <c r="E18" s="60">
        <v>1108.671033908046</v>
      </c>
      <c r="F18" s="60">
        <v>1257.2204178160919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40</v>
      </c>
      <c r="B19" s="118"/>
      <c r="C19" s="118"/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4"/>
      <c r="K19" s="15"/>
    </row>
    <row r="20" spans="1:11" ht="12.75">
      <c r="A20" s="113" t="s">
        <v>41</v>
      </c>
      <c r="B20" s="118"/>
      <c r="C20" s="118"/>
      <c r="D20" s="60">
        <v>840.4839999999999</v>
      </c>
      <c r="E20" s="60">
        <v>1050.605</v>
      </c>
      <c r="F20" s="60">
        <v>1260.7259999999999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42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s="14" customFormat="1" ht="12.75">
      <c r="A22" s="113" t="s">
        <v>43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3"/>
    </row>
    <row r="23" spans="1:11" s="14" customFormat="1" ht="12.75">
      <c r="A23" s="113" t="s">
        <v>44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3"/>
    </row>
    <row r="24" spans="1:11" s="14" customFormat="1" ht="12.75">
      <c r="A24" s="113" t="s">
        <v>45</v>
      </c>
      <c r="B24" s="118"/>
      <c r="C24" s="118"/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4"/>
      <c r="K24" s="13"/>
    </row>
    <row r="25" spans="1:11" s="14" customFormat="1" ht="13.5" thickBot="1">
      <c r="A25" s="113" t="s">
        <v>46</v>
      </c>
      <c r="B25" s="118"/>
      <c r="C25" s="118"/>
      <c r="D25" s="60">
        <v>759.2210298243104</v>
      </c>
      <c r="E25" s="60">
        <v>868.4220208601724</v>
      </c>
      <c r="F25" s="60">
        <v>984.7807532753446</v>
      </c>
      <c r="G25" s="60">
        <v>0</v>
      </c>
      <c r="H25" s="60">
        <v>0</v>
      </c>
      <c r="I25" s="60">
        <v>0</v>
      </c>
      <c r="J25" s="4"/>
      <c r="K25" s="13"/>
    </row>
    <row r="26" spans="1:11" s="14" customFormat="1" ht="27" customHeight="1" thickBot="1">
      <c r="A26" s="271" t="s">
        <v>47</v>
      </c>
      <c r="B26" s="272"/>
      <c r="C26" s="273"/>
      <c r="D26" s="61">
        <f>SUM(D9:D25)</f>
        <v>15220.573978858794</v>
      </c>
      <c r="E26" s="61">
        <f>SUM(E9:E25)</f>
        <v>17409.793846768218</v>
      </c>
      <c r="F26" s="61">
        <f>SUM(F9:F25)</f>
        <v>19742.50938709143</v>
      </c>
      <c r="G26" s="61">
        <v>0</v>
      </c>
      <c r="H26" s="61">
        <v>0</v>
      </c>
      <c r="I26" s="61">
        <v>0</v>
      </c>
      <c r="J26" s="4"/>
      <c r="K26" s="13"/>
    </row>
    <row r="27" spans="1:11" s="14" customFormat="1" ht="13.5" thickBot="1">
      <c r="A27" s="119"/>
      <c r="B27" s="120"/>
      <c r="C27" s="120"/>
      <c r="D27" s="62"/>
      <c r="E27" s="62"/>
      <c r="F27" s="62"/>
      <c r="G27" s="62"/>
      <c r="H27" s="62"/>
      <c r="I27" s="62"/>
      <c r="J27" s="4"/>
      <c r="K27" s="13"/>
    </row>
    <row r="28" spans="1:11" ht="13.5" thickBot="1">
      <c r="A28" s="274" t="s">
        <v>48</v>
      </c>
      <c r="B28" s="275"/>
      <c r="C28" s="276"/>
      <c r="D28" s="61">
        <v>10845.135336922367</v>
      </c>
      <c r="E28" s="61">
        <v>10845.135336922367</v>
      </c>
      <c r="F28" s="61">
        <v>10845.135336922367</v>
      </c>
      <c r="G28" s="61">
        <v>0</v>
      </c>
      <c r="H28" s="61">
        <v>0</v>
      </c>
      <c r="I28" s="61">
        <v>0</v>
      </c>
      <c r="J28" s="25"/>
      <c r="K28" s="4"/>
    </row>
    <row r="29" spans="1:11" ht="13.5" thickBot="1">
      <c r="A29" s="119"/>
      <c r="B29" s="120"/>
      <c r="C29" s="120"/>
      <c r="D29" s="62"/>
      <c r="E29" s="62"/>
      <c r="F29" s="62"/>
      <c r="G29" s="62"/>
      <c r="H29" s="62"/>
      <c r="I29" s="62"/>
      <c r="J29" s="4"/>
      <c r="K29" s="15"/>
    </row>
    <row r="30" spans="1:11" ht="26.25" customHeight="1" thickBot="1">
      <c r="A30" s="271" t="s">
        <v>49</v>
      </c>
      <c r="B30" s="272"/>
      <c r="C30" s="273"/>
      <c r="D30" s="61">
        <f>D26+D28</f>
        <v>26065.70931578116</v>
      </c>
      <c r="E30" s="61">
        <f>E26+E28</f>
        <v>28254.929183690583</v>
      </c>
      <c r="F30" s="61">
        <f>F26+F28</f>
        <v>30587.6447240138</v>
      </c>
      <c r="G30" s="61">
        <v>0</v>
      </c>
      <c r="H30" s="61">
        <v>0</v>
      </c>
      <c r="I30" s="61">
        <v>0</v>
      </c>
      <c r="J30" s="4"/>
      <c r="K30" s="15"/>
    </row>
    <row r="31" spans="1:11" ht="13.5" thickBot="1">
      <c r="A31" s="114"/>
      <c r="B31" s="115"/>
      <c r="C31" s="115"/>
      <c r="D31" s="64"/>
      <c r="E31" s="64"/>
      <c r="F31" s="64"/>
      <c r="G31" s="64"/>
      <c r="H31" s="64"/>
      <c r="I31" s="64"/>
      <c r="J31" s="4"/>
      <c r="K31" s="15"/>
    </row>
    <row r="32" spans="1:11" ht="25.5" customHeight="1" thickBot="1">
      <c r="A32" s="271" t="s">
        <v>50</v>
      </c>
      <c r="B32" s="281"/>
      <c r="C32" s="282"/>
      <c r="D32" s="61">
        <f>D30/D5</f>
        <v>3258.213664472645</v>
      </c>
      <c r="E32" s="61">
        <f>E30/E5</f>
        <v>2825.4929183690583</v>
      </c>
      <c r="F32" s="61">
        <f>F30/F5</f>
        <v>2548.9703936678166</v>
      </c>
      <c r="G32" s="61">
        <v>0</v>
      </c>
      <c r="H32" s="61">
        <v>0</v>
      </c>
      <c r="I32" s="61">
        <v>0</v>
      </c>
      <c r="J32" s="4"/>
      <c r="K32" s="15"/>
    </row>
    <row r="33" spans="1:11" ht="13.5" thickBot="1">
      <c r="A33" s="108"/>
      <c r="B33" s="109"/>
      <c r="C33" s="109"/>
      <c r="D33" s="64"/>
      <c r="E33" s="64"/>
      <c r="F33" s="64"/>
      <c r="G33" s="64"/>
      <c r="H33" s="64"/>
      <c r="I33" s="64"/>
      <c r="J33" s="4"/>
      <c r="K33" s="15"/>
    </row>
    <row r="34" spans="1:11" ht="13.5" thickBot="1">
      <c r="A34" s="106" t="s">
        <v>51</v>
      </c>
      <c r="B34" s="107"/>
      <c r="C34" s="107"/>
      <c r="D34" s="61">
        <f>'Pryse + Sensatiwiteitsanali'!D4</f>
        <v>216</v>
      </c>
      <c r="E34" s="61">
        <f>$D$34</f>
        <v>216</v>
      </c>
      <c r="F34" s="61">
        <f>$D$34</f>
        <v>216</v>
      </c>
      <c r="G34" s="61">
        <v>0</v>
      </c>
      <c r="H34" s="61">
        <v>0</v>
      </c>
      <c r="I34" s="61">
        <v>0</v>
      </c>
      <c r="J34" s="4"/>
      <c r="K34" s="4"/>
    </row>
    <row r="35" spans="1:11" ht="13.5" thickBot="1">
      <c r="A35" s="108"/>
      <c r="B35" s="109"/>
      <c r="C35" s="109"/>
      <c r="D35" s="64"/>
      <c r="E35" s="64"/>
      <c r="F35" s="64"/>
      <c r="G35" s="64"/>
      <c r="H35" s="64"/>
      <c r="I35" s="64"/>
      <c r="J35" s="4"/>
      <c r="K35" s="4"/>
    </row>
    <row r="36" spans="1:10" ht="13.5" thickBot="1">
      <c r="A36" s="264" t="s">
        <v>52</v>
      </c>
      <c r="B36" s="265"/>
      <c r="C36" s="280"/>
      <c r="D36" s="63">
        <f>D32+D34</f>
        <v>3474.213664472645</v>
      </c>
      <c r="E36" s="63">
        <f>E32+E34</f>
        <v>3041.4929183690583</v>
      </c>
      <c r="F36" s="63">
        <f>F32+F34</f>
        <v>2764.9703936678166</v>
      </c>
      <c r="G36" s="63">
        <v>0</v>
      </c>
      <c r="H36" s="63">
        <v>0</v>
      </c>
      <c r="I36" s="63">
        <v>0</v>
      </c>
      <c r="J36" s="4"/>
    </row>
    <row r="37" spans="1:10" ht="13.5" thickBot="1">
      <c r="A37" s="103" t="s">
        <v>53</v>
      </c>
      <c r="B37" s="104"/>
      <c r="C37" s="7"/>
      <c r="D37" s="63">
        <f>'Pryse + Sensatiwiteitsanali'!B4</f>
        <v>2700</v>
      </c>
      <c r="E37" s="63">
        <f>$D$37</f>
        <v>2700</v>
      </c>
      <c r="F37" s="63">
        <f>$D$37</f>
        <v>2700</v>
      </c>
      <c r="G37" s="63">
        <v>0</v>
      </c>
      <c r="H37" s="63">
        <v>0</v>
      </c>
      <c r="I37" s="63">
        <v>0</v>
      </c>
      <c r="J37" s="15"/>
    </row>
    <row r="38" spans="4:10" ht="12.75">
      <c r="D38" s="57"/>
      <c r="E38" s="57"/>
      <c r="F38" s="57"/>
      <c r="G38" s="57"/>
      <c r="H38" s="57"/>
      <c r="I38" s="89"/>
      <c r="J38" s="4"/>
    </row>
    <row r="39" spans="1:10" ht="13.5" thickBot="1">
      <c r="A39" s="4"/>
      <c r="B39" s="26"/>
      <c r="C39" s="4"/>
      <c r="D39" s="4"/>
      <c r="E39" s="4"/>
      <c r="F39" s="4"/>
      <c r="G39" s="4"/>
      <c r="H39" s="4"/>
      <c r="I39" s="15"/>
      <c r="J39" s="4"/>
    </row>
    <row r="40" spans="1:10" ht="12.75">
      <c r="A40" s="1" t="s">
        <v>5</v>
      </c>
      <c r="B40" s="27"/>
      <c r="C40" s="28"/>
      <c r="D40" s="28"/>
      <c r="E40" s="28"/>
      <c r="F40" s="28"/>
      <c r="G40" s="28"/>
      <c r="H40" s="29"/>
      <c r="I40" s="15"/>
      <c r="J40" s="4"/>
    </row>
    <row r="41" spans="1:10" ht="12.75">
      <c r="A41" s="30" t="s">
        <v>1</v>
      </c>
      <c r="B41" s="31"/>
      <c r="C41" s="32"/>
      <c r="D41" s="33"/>
      <c r="E41" s="33"/>
      <c r="F41" s="33"/>
      <c r="G41" s="33"/>
      <c r="H41" s="34"/>
      <c r="I41" s="15"/>
      <c r="J41" s="4"/>
    </row>
    <row r="42" spans="1:10" ht="13.5" thickBot="1">
      <c r="A42" s="35" t="s">
        <v>0</v>
      </c>
      <c r="B42" s="36"/>
      <c r="C42" s="37"/>
      <c r="D42" s="37"/>
      <c r="E42" s="37"/>
      <c r="F42" s="37"/>
      <c r="G42" s="38"/>
      <c r="H42" s="39"/>
      <c r="I42" s="15"/>
      <c r="J42" s="4"/>
    </row>
    <row r="43" spans="1:10" ht="13.5" thickBot="1">
      <c r="A43" s="40"/>
      <c r="B43" s="10"/>
      <c r="C43" s="41" t="s">
        <v>2</v>
      </c>
      <c r="D43" s="42"/>
      <c r="E43" s="42"/>
      <c r="F43" s="42"/>
      <c r="G43" s="43"/>
      <c r="H43" s="44"/>
      <c r="I43" s="15"/>
      <c r="J43" s="4"/>
    </row>
    <row r="44" spans="1:10" ht="13.5" thickBot="1">
      <c r="A44" s="5"/>
      <c r="B44" s="26"/>
      <c r="C44" s="4"/>
      <c r="D44" s="4"/>
      <c r="E44" s="4"/>
      <c r="F44" s="4"/>
      <c r="G44" s="4"/>
      <c r="H44" s="45"/>
      <c r="I44" s="15"/>
      <c r="J44" s="4"/>
    </row>
    <row r="45" spans="1:10" ht="13.5" thickBot="1">
      <c r="A45" s="5"/>
      <c r="B45" s="46"/>
      <c r="C45" s="47">
        <v>2584</v>
      </c>
      <c r="D45" s="47">
        <v>2684</v>
      </c>
      <c r="E45" s="48">
        <v>2784</v>
      </c>
      <c r="F45" s="47">
        <v>2884</v>
      </c>
      <c r="G45" s="49">
        <v>2984</v>
      </c>
      <c r="H45" s="45"/>
      <c r="I45" s="15"/>
      <c r="J45" s="4"/>
    </row>
    <row r="46" spans="1:10" ht="12.75">
      <c r="A46" s="5"/>
      <c r="B46" s="71">
        <v>8</v>
      </c>
      <c r="C46" s="72">
        <v>-5393.709315781161</v>
      </c>
      <c r="D46" s="73">
        <v>-6782.929183690583</v>
      </c>
      <c r="E46" s="73">
        <v>-8315.6447240138</v>
      </c>
      <c r="F46" s="73">
        <v>23072</v>
      </c>
      <c r="G46" s="74">
        <v>23872</v>
      </c>
      <c r="H46" s="45"/>
      <c r="I46" s="15"/>
      <c r="J46" s="4"/>
    </row>
    <row r="47" spans="1:10" ht="12.75">
      <c r="A47" s="5"/>
      <c r="B47" s="71"/>
      <c r="C47" s="75"/>
      <c r="D47" s="68"/>
      <c r="E47" s="68"/>
      <c r="F47" s="68"/>
      <c r="G47" s="69"/>
      <c r="H47" s="45"/>
      <c r="I47" s="15"/>
      <c r="J47" s="4"/>
    </row>
    <row r="48" spans="1:10" ht="12.75">
      <c r="A48" s="5"/>
      <c r="B48" s="71">
        <v>10</v>
      </c>
      <c r="C48" s="75">
        <v>-225.70931578116142</v>
      </c>
      <c r="D48" s="68">
        <v>-1414.9291836905832</v>
      </c>
      <c r="E48" s="68">
        <v>-2747.6447240138004</v>
      </c>
      <c r="F48" s="68">
        <v>28840</v>
      </c>
      <c r="G48" s="69">
        <v>29840</v>
      </c>
      <c r="H48" s="45"/>
      <c r="I48" s="15"/>
      <c r="J48" s="4"/>
    </row>
    <row r="49" spans="1:10" ht="13.5" thickBot="1">
      <c r="A49" s="52"/>
      <c r="B49" s="71"/>
      <c r="C49" s="75"/>
      <c r="D49" s="68"/>
      <c r="E49" s="68"/>
      <c r="F49" s="68"/>
      <c r="G49" s="69"/>
      <c r="H49" s="45"/>
      <c r="I49" s="15"/>
      <c r="J49" s="4"/>
    </row>
    <row r="50" spans="1:10" ht="13.5" thickBot="1">
      <c r="A50" s="53" t="s">
        <v>4</v>
      </c>
      <c r="B50" s="76">
        <v>12</v>
      </c>
      <c r="C50" s="75">
        <v>4942.290684218839</v>
      </c>
      <c r="D50" s="68">
        <v>3953.070816309417</v>
      </c>
      <c r="E50" s="77">
        <v>2820.3552759861996</v>
      </c>
      <c r="F50" s="68">
        <v>34608</v>
      </c>
      <c r="G50" s="69">
        <v>35808</v>
      </c>
      <c r="H50" s="45"/>
      <c r="I50" s="15"/>
      <c r="J50" s="4"/>
    </row>
    <row r="51" spans="1:10" ht="12.75">
      <c r="A51" s="5"/>
      <c r="B51" s="71"/>
      <c r="C51" s="75"/>
      <c r="D51" s="68"/>
      <c r="E51" s="68"/>
      <c r="F51" s="68"/>
      <c r="G51" s="69"/>
      <c r="H51" s="45"/>
      <c r="I51" s="15"/>
      <c r="J51" s="4"/>
    </row>
    <row r="52" spans="1:10" ht="12.75">
      <c r="A52" s="5"/>
      <c r="B52" s="71">
        <v>0</v>
      </c>
      <c r="C52" s="75">
        <v>0</v>
      </c>
      <c r="D52" s="68">
        <v>0</v>
      </c>
      <c r="E52" s="68">
        <v>0</v>
      </c>
      <c r="F52" s="68">
        <v>0</v>
      </c>
      <c r="G52" s="69">
        <v>0</v>
      </c>
      <c r="H52" s="45"/>
      <c r="I52" s="15"/>
      <c r="J52" s="4"/>
    </row>
    <row r="53" spans="1:10" ht="12.75">
      <c r="A53" s="5"/>
      <c r="B53" s="71"/>
      <c r="C53" s="75"/>
      <c r="D53" s="68"/>
      <c r="E53" s="68"/>
      <c r="F53" s="68"/>
      <c r="G53" s="69"/>
      <c r="H53" s="45"/>
      <c r="I53" s="15"/>
      <c r="J53" s="4"/>
    </row>
    <row r="54" spans="1:10" ht="12.75">
      <c r="A54" s="5"/>
      <c r="B54" s="71">
        <v>0</v>
      </c>
      <c r="C54" s="75">
        <v>0</v>
      </c>
      <c r="D54" s="68">
        <v>0</v>
      </c>
      <c r="E54" s="68">
        <v>0</v>
      </c>
      <c r="F54" s="68">
        <v>0</v>
      </c>
      <c r="G54" s="69">
        <v>0</v>
      </c>
      <c r="H54" s="45"/>
      <c r="I54" s="15"/>
      <c r="J54" s="4"/>
    </row>
    <row r="55" spans="1:10" ht="12.75">
      <c r="A55" s="5"/>
      <c r="B55" s="71"/>
      <c r="C55" s="75"/>
      <c r="D55" s="68"/>
      <c r="E55" s="68"/>
      <c r="F55" s="68"/>
      <c r="G55" s="69"/>
      <c r="H55" s="45"/>
      <c r="I55" s="15"/>
      <c r="J55" s="4"/>
    </row>
    <row r="56" spans="1:10" ht="13.5" thickBot="1">
      <c r="A56" s="5"/>
      <c r="B56" s="78">
        <v>0</v>
      </c>
      <c r="C56" s="79">
        <v>0</v>
      </c>
      <c r="D56" s="80">
        <v>0</v>
      </c>
      <c r="E56" s="80">
        <v>0</v>
      </c>
      <c r="F56" s="80">
        <v>0</v>
      </c>
      <c r="G56" s="81">
        <v>0</v>
      </c>
      <c r="H56" s="45"/>
      <c r="I56" s="15"/>
      <c r="J56" s="4"/>
    </row>
    <row r="57" spans="1:10" ht="13.5" thickBot="1">
      <c r="A57" s="56"/>
      <c r="B57" s="12"/>
      <c r="C57" s="12"/>
      <c r="D57" s="12"/>
      <c r="E57" s="12"/>
      <c r="F57" s="12"/>
      <c r="G57" s="12"/>
      <c r="H57" s="6"/>
      <c r="J57" s="4"/>
    </row>
    <row r="58" spans="1:10" ht="15">
      <c r="A58" s="93" t="s">
        <v>14</v>
      </c>
      <c r="B58" s="94"/>
      <c r="C58" s="94"/>
      <c r="D58" s="94"/>
      <c r="E58" s="94"/>
      <c r="F58" s="94"/>
      <c r="G58" s="94"/>
      <c r="H58" s="95"/>
      <c r="I58" s="96"/>
      <c r="J58" s="96"/>
    </row>
    <row r="59" spans="1:10" ht="15">
      <c r="A59" s="97" t="s">
        <v>15</v>
      </c>
      <c r="B59" s="98"/>
      <c r="C59" s="98"/>
      <c r="D59" s="98"/>
      <c r="E59" s="98"/>
      <c r="F59" s="98"/>
      <c r="G59" s="98"/>
      <c r="H59" s="99"/>
      <c r="I59" s="96"/>
      <c r="J59" s="96"/>
    </row>
    <row r="60" spans="1:10" ht="15.75" thickBot="1">
      <c r="A60" s="100" t="s">
        <v>16</v>
      </c>
      <c r="B60" s="101"/>
      <c r="C60" s="101"/>
      <c r="D60" s="101"/>
      <c r="E60" s="101"/>
      <c r="F60" s="101"/>
      <c r="G60" s="101"/>
      <c r="H60" s="102"/>
      <c r="I60" s="96"/>
      <c r="J60" s="96"/>
    </row>
    <row r="61" spans="1:8" ht="12.75">
      <c r="A61" s="252" t="s">
        <v>17</v>
      </c>
      <c r="B61" s="253"/>
      <c r="C61" s="253"/>
      <c r="D61" s="253"/>
      <c r="E61" s="253"/>
      <c r="F61" s="253"/>
      <c r="G61" s="253"/>
      <c r="H61" s="254"/>
    </row>
    <row r="62" spans="1:8" ht="12.75">
      <c r="A62" s="255"/>
      <c r="B62" s="256"/>
      <c r="C62" s="256"/>
      <c r="D62" s="256"/>
      <c r="E62" s="256"/>
      <c r="F62" s="256"/>
      <c r="G62" s="256"/>
      <c r="H62" s="257"/>
    </row>
    <row r="63" spans="1:8" ht="12.75">
      <c r="A63" s="255"/>
      <c r="B63" s="256"/>
      <c r="C63" s="256"/>
      <c r="D63" s="256"/>
      <c r="E63" s="256"/>
      <c r="F63" s="256"/>
      <c r="G63" s="256"/>
      <c r="H63" s="257"/>
    </row>
    <row r="64" spans="1:8" ht="13.5" thickBot="1">
      <c r="A64" s="258"/>
      <c r="B64" s="259"/>
      <c r="C64" s="259"/>
      <c r="D64" s="259"/>
      <c r="E64" s="259"/>
      <c r="F64" s="259"/>
      <c r="G64" s="259"/>
      <c r="H64" s="260"/>
    </row>
  </sheetData>
  <sheetProtection/>
  <mergeCells count="10">
    <mergeCell ref="A61:H64"/>
    <mergeCell ref="A1:D1"/>
    <mergeCell ref="E1:G1"/>
    <mergeCell ref="A36:C36"/>
    <mergeCell ref="A3:C3"/>
    <mergeCell ref="A8:C8"/>
    <mergeCell ref="A26:C26"/>
    <mergeCell ref="A28:C28"/>
    <mergeCell ref="A30:C30"/>
    <mergeCell ref="A32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90" zoomScaleNormal="90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6" width="12.7109375" style="2" customWidth="1"/>
    <col min="17" max="20" width="9.140625" style="2" customWidth="1"/>
    <col min="21" max="21" width="19.140625" style="2" customWidth="1"/>
    <col min="22" max="16384" width="9.140625" style="2" customWidth="1"/>
  </cols>
  <sheetData>
    <row r="1" spans="1:10" s="4" customFormat="1" ht="32.25" customHeight="1" thickBot="1">
      <c r="A1" s="261" t="s">
        <v>18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Sensatiwiteitsanali'!B24</f>
        <v>2484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2.5</v>
      </c>
      <c r="E5" s="88">
        <v>3</v>
      </c>
      <c r="F5" s="88">
        <v>3.5</v>
      </c>
      <c r="G5" s="88">
        <v>4</v>
      </c>
      <c r="H5" s="88">
        <v>5</v>
      </c>
      <c r="I5" s="88">
        <v>6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6210</v>
      </c>
      <c r="E6" s="66">
        <f t="shared" si="0"/>
        <v>7452</v>
      </c>
      <c r="F6" s="66">
        <f t="shared" si="0"/>
        <v>8694</v>
      </c>
      <c r="G6" s="66">
        <f t="shared" si="0"/>
        <v>9936</v>
      </c>
      <c r="H6" s="66">
        <f t="shared" si="0"/>
        <v>12420</v>
      </c>
      <c r="I6" s="66">
        <f t="shared" si="0"/>
        <v>14904</v>
      </c>
      <c r="J6" s="4"/>
      <c r="K6" s="15"/>
    </row>
    <row r="7" spans="1:11" ht="13.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15"/>
    </row>
    <row r="8" spans="1:11" ht="13.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15"/>
    </row>
    <row r="9" spans="1:11" ht="12.75">
      <c r="A9" s="116" t="s">
        <v>31</v>
      </c>
      <c r="B9" s="117"/>
      <c r="C9" s="117"/>
      <c r="D9" s="59">
        <v>569</v>
      </c>
      <c r="E9" s="59">
        <v>640.125</v>
      </c>
      <c r="F9" s="59">
        <v>640.125</v>
      </c>
      <c r="G9" s="59">
        <v>711.2499999999999</v>
      </c>
      <c r="H9" s="59">
        <v>782.3749999999999</v>
      </c>
      <c r="I9" s="59">
        <v>782.3749999999999</v>
      </c>
      <c r="J9" s="4"/>
      <c r="K9" s="15"/>
    </row>
    <row r="10" spans="1:11" ht="12.75">
      <c r="A10" s="113" t="s">
        <v>32</v>
      </c>
      <c r="B10" s="118"/>
      <c r="C10" s="118"/>
      <c r="D10" s="60">
        <v>1347.5</v>
      </c>
      <c r="E10" s="60">
        <v>1595</v>
      </c>
      <c r="F10" s="60">
        <v>1842.5</v>
      </c>
      <c r="G10" s="60">
        <v>2090</v>
      </c>
      <c r="H10" s="60">
        <v>2585</v>
      </c>
      <c r="I10" s="60">
        <v>3080</v>
      </c>
      <c r="J10" s="4"/>
      <c r="K10" s="15"/>
    </row>
    <row r="11" spans="1:11" ht="12.7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319.44000000000005</v>
      </c>
      <c r="I11" s="60">
        <v>319.44000000000005</v>
      </c>
      <c r="J11" s="4"/>
      <c r="K11" s="15"/>
    </row>
    <row r="12" spans="1:11" ht="12.75">
      <c r="A12" s="113" t="s">
        <v>34</v>
      </c>
      <c r="B12" s="118"/>
      <c r="C12" s="118"/>
      <c r="D12" s="60">
        <v>919.6064319999999</v>
      </c>
      <c r="E12" s="60">
        <v>936.5266819999999</v>
      </c>
      <c r="F12" s="60">
        <v>953.446932</v>
      </c>
      <c r="G12" s="60">
        <v>970.367182</v>
      </c>
      <c r="H12" s="60">
        <v>997.822682</v>
      </c>
      <c r="I12" s="60">
        <v>1025.278182</v>
      </c>
      <c r="J12" s="4"/>
      <c r="K12" s="15"/>
    </row>
    <row r="13" spans="1:11" ht="12.75">
      <c r="A13" s="113" t="s">
        <v>35</v>
      </c>
      <c r="B13" s="118"/>
      <c r="C13" s="118"/>
      <c r="D13" s="60">
        <v>583.894695</v>
      </c>
      <c r="E13" s="60">
        <v>587.4194449999999</v>
      </c>
      <c r="F13" s="60">
        <v>590.9441949999999</v>
      </c>
      <c r="G13" s="60">
        <v>594.4689449999998</v>
      </c>
      <c r="H13" s="60">
        <v>601.5184449999999</v>
      </c>
      <c r="I13" s="60">
        <v>608.5679449999999</v>
      </c>
      <c r="J13" s="4"/>
      <c r="K13" s="15"/>
    </row>
    <row r="14" spans="1:11" ht="12.75">
      <c r="A14" s="113" t="s">
        <v>36</v>
      </c>
      <c r="B14" s="118"/>
      <c r="C14" s="118"/>
      <c r="D14" s="60">
        <v>648.06</v>
      </c>
      <c r="E14" s="60">
        <v>648.06</v>
      </c>
      <c r="F14" s="60">
        <v>648.06</v>
      </c>
      <c r="G14" s="60">
        <v>648.06</v>
      </c>
      <c r="H14" s="60">
        <v>648.06</v>
      </c>
      <c r="I14" s="60">
        <v>648.06</v>
      </c>
      <c r="J14" s="4"/>
      <c r="K14" s="15"/>
    </row>
    <row r="15" spans="1:11" ht="12.75">
      <c r="A15" s="113" t="s">
        <v>37</v>
      </c>
      <c r="B15" s="118"/>
      <c r="C15" s="118"/>
      <c r="D15" s="60">
        <v>158</v>
      </c>
      <c r="E15" s="60">
        <v>158</v>
      </c>
      <c r="F15" s="60">
        <v>158</v>
      </c>
      <c r="G15" s="60">
        <v>158</v>
      </c>
      <c r="H15" s="60">
        <v>158</v>
      </c>
      <c r="I15" s="60">
        <v>158</v>
      </c>
      <c r="J15" s="4"/>
      <c r="K15" s="15"/>
    </row>
    <row r="16" spans="1:11" ht="12.75">
      <c r="A16" s="113" t="s">
        <v>38</v>
      </c>
      <c r="B16" s="118"/>
      <c r="C16" s="118"/>
      <c r="D16" s="60">
        <v>135.72</v>
      </c>
      <c r="E16" s="60">
        <v>162.864</v>
      </c>
      <c r="F16" s="60">
        <v>190.00800000000004</v>
      </c>
      <c r="G16" s="60">
        <v>217.152</v>
      </c>
      <c r="H16" s="60">
        <v>271.44</v>
      </c>
      <c r="I16" s="60">
        <v>325.728</v>
      </c>
      <c r="J16" s="4"/>
      <c r="K16" s="15"/>
    </row>
    <row r="17" spans="1:11" ht="12.75">
      <c r="A17" s="113" t="s">
        <v>39</v>
      </c>
      <c r="B17" s="118"/>
      <c r="C17" s="118"/>
      <c r="D17" s="60">
        <v>353.6736172413793</v>
      </c>
      <c r="E17" s="60">
        <v>383.4578934626437</v>
      </c>
      <c r="F17" s="60">
        <v>408.13261508620695</v>
      </c>
      <c r="G17" s="60">
        <v>437.91689130747136</v>
      </c>
      <c r="H17" s="60">
        <v>491.91719662356326</v>
      </c>
      <c r="I17" s="60">
        <v>540.807947341954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241.91562500000003</v>
      </c>
      <c r="E19" s="60">
        <v>290.29875000000004</v>
      </c>
      <c r="F19" s="60">
        <v>338.68187500000005</v>
      </c>
      <c r="G19" s="60">
        <v>387.06500000000005</v>
      </c>
      <c r="H19" s="60">
        <v>483.83125000000007</v>
      </c>
      <c r="I19" s="60">
        <v>580.5975000000001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277.0325443851724</v>
      </c>
      <c r="E24" s="60">
        <v>300.3625679492887</v>
      </c>
      <c r="F24" s="60">
        <v>319.6902773970259</v>
      </c>
      <c r="G24" s="60">
        <v>343.0203009611423</v>
      </c>
      <c r="H24" s="60">
        <v>385.31874011523706</v>
      </c>
      <c r="I24" s="60">
        <v>423.61486515295263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 aca="true" t="shared" si="1" ref="D25:I25">SUM(D9:D24)</f>
        <v>5553.842913626551</v>
      </c>
      <c r="E25" s="61">
        <f t="shared" si="1"/>
        <v>6021.554338411932</v>
      </c>
      <c r="F25" s="61">
        <f t="shared" si="1"/>
        <v>6409.028894483232</v>
      </c>
      <c r="G25" s="61">
        <f t="shared" si="1"/>
        <v>6876.740319268615</v>
      </c>
      <c r="H25" s="61">
        <f t="shared" si="1"/>
        <v>7724.7233137388</v>
      </c>
      <c r="I25" s="61">
        <f t="shared" si="1"/>
        <v>8492.469439494907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2338.9909602070397</v>
      </c>
      <c r="E27" s="61">
        <v>2338.9909602070397</v>
      </c>
      <c r="F27" s="61">
        <v>2338.9909602070397</v>
      </c>
      <c r="G27" s="61">
        <v>2338.9909602070397</v>
      </c>
      <c r="H27" s="61">
        <v>2338.9909602070397</v>
      </c>
      <c r="I27" s="61">
        <v>2338.9909602070397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 aca="true" t="shared" si="2" ref="D29:I29">D25+D27</f>
        <v>7892.8338738335915</v>
      </c>
      <c r="E29" s="61">
        <f t="shared" si="2"/>
        <v>8360.545298618972</v>
      </c>
      <c r="F29" s="61">
        <f t="shared" si="2"/>
        <v>8748.019854690272</v>
      </c>
      <c r="G29" s="61">
        <f t="shared" si="2"/>
        <v>9215.731279475654</v>
      </c>
      <c r="H29" s="61">
        <f t="shared" si="2"/>
        <v>10063.71427394584</v>
      </c>
      <c r="I29" s="61">
        <f t="shared" si="2"/>
        <v>10831.460399701948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 aca="true" t="shared" si="3" ref="D31:I31">D29/D5</f>
        <v>3157.1335495334365</v>
      </c>
      <c r="E31" s="61">
        <f t="shared" si="3"/>
        <v>2786.8484328729905</v>
      </c>
      <c r="F31" s="61">
        <f t="shared" si="3"/>
        <v>2499.434244197221</v>
      </c>
      <c r="G31" s="61">
        <f t="shared" si="3"/>
        <v>2303.9328198689136</v>
      </c>
      <c r="H31" s="61">
        <f t="shared" si="3"/>
        <v>2012.742854789168</v>
      </c>
      <c r="I31" s="61">
        <f t="shared" si="3"/>
        <v>1805.2433999503246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Sensatiwiteitsanali'!D4</f>
        <v>216</v>
      </c>
      <c r="E33" s="61">
        <f>$D$33</f>
        <v>216</v>
      </c>
      <c r="F33" s="61">
        <f>$D$33</f>
        <v>216</v>
      </c>
      <c r="G33" s="61">
        <f>$D$33</f>
        <v>216</v>
      </c>
      <c r="H33" s="61">
        <f>$D$33</f>
        <v>216</v>
      </c>
      <c r="I33" s="61">
        <f>$D$33</f>
        <v>216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 aca="true" t="shared" si="4" ref="D35:I35">D31+D33</f>
        <v>3373.1335495334365</v>
      </c>
      <c r="E35" s="63">
        <f t="shared" si="4"/>
        <v>3002.8484328729905</v>
      </c>
      <c r="F35" s="63">
        <f t="shared" si="4"/>
        <v>2715.434244197221</v>
      </c>
      <c r="G35" s="63">
        <f t="shared" si="4"/>
        <v>2519.9328198689136</v>
      </c>
      <c r="H35" s="63">
        <f t="shared" si="4"/>
        <v>2228.7428547891677</v>
      </c>
      <c r="I35" s="63">
        <f t="shared" si="4"/>
        <v>2021.2433999503246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13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0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2584</v>
      </c>
      <c r="D44" s="47">
        <v>2684</v>
      </c>
      <c r="E44" s="48">
        <v>2784</v>
      </c>
      <c r="F44" s="47">
        <v>2884</v>
      </c>
      <c r="G44" s="49">
        <v>2984</v>
      </c>
      <c r="H44" s="45"/>
      <c r="I44" s="15"/>
      <c r="J44" s="4"/>
    </row>
    <row r="45" spans="1:10" ht="12.75">
      <c r="A45" s="5"/>
      <c r="B45" s="50">
        <v>2.5</v>
      </c>
      <c r="C45" s="72">
        <v>-1432.8338738335915</v>
      </c>
      <c r="D45" s="73">
        <v>-1182.8338738335915</v>
      </c>
      <c r="E45" s="73">
        <v>-932.8338738335915</v>
      </c>
      <c r="F45" s="73">
        <v>-682.8338738335915</v>
      </c>
      <c r="G45" s="74">
        <v>-432.8338738335915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3</v>
      </c>
      <c r="C47" s="75">
        <v>-608.5452986189721</v>
      </c>
      <c r="D47" s="68">
        <v>-308.5452986189721</v>
      </c>
      <c r="E47" s="68">
        <v>-8.545298618972083</v>
      </c>
      <c r="F47" s="68">
        <v>291.4547013810279</v>
      </c>
      <c r="G47" s="69">
        <v>591.4547013810279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3.5</v>
      </c>
      <c r="C49" s="75">
        <v>295.98014530972796</v>
      </c>
      <c r="D49" s="68">
        <v>645.980145309728</v>
      </c>
      <c r="E49" s="77">
        <v>995.980145309728</v>
      </c>
      <c r="F49" s="68">
        <v>1345.980145309728</v>
      </c>
      <c r="G49" s="69">
        <v>1695.980145309728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4</v>
      </c>
      <c r="C51" s="75">
        <v>1120.2687205243456</v>
      </c>
      <c r="D51" s="68">
        <v>1520.2687205243456</v>
      </c>
      <c r="E51" s="68">
        <v>1920.2687205243456</v>
      </c>
      <c r="F51" s="68">
        <v>2320.2687205243456</v>
      </c>
      <c r="G51" s="69">
        <v>2720.2687205243456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5</v>
      </c>
      <c r="C53" s="75">
        <v>2856.2857260541605</v>
      </c>
      <c r="D53" s="68">
        <v>3356.2857260541605</v>
      </c>
      <c r="E53" s="68">
        <v>3856.2857260541605</v>
      </c>
      <c r="F53" s="68">
        <v>4356.2857260541605</v>
      </c>
      <c r="G53" s="69">
        <v>4856.2857260541605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6</v>
      </c>
      <c r="C55" s="79">
        <v>4672.539600298052</v>
      </c>
      <c r="D55" s="80">
        <v>5272.539600298052</v>
      </c>
      <c r="E55" s="80">
        <v>5872.539600298052</v>
      </c>
      <c r="F55" s="80">
        <v>6472.539600298052</v>
      </c>
      <c r="G55" s="81">
        <v>7072.539600298052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  <row r="60" spans="1:8" ht="12.75">
      <c r="A60" s="252" t="s">
        <v>17</v>
      </c>
      <c r="B60" s="253"/>
      <c r="C60" s="253"/>
      <c r="D60" s="253"/>
      <c r="E60" s="253"/>
      <c r="F60" s="253"/>
      <c r="G60" s="253"/>
      <c r="H60" s="254"/>
    </row>
    <row r="61" spans="1:8" ht="12.75">
      <c r="A61" s="255"/>
      <c r="B61" s="256"/>
      <c r="C61" s="256"/>
      <c r="D61" s="256"/>
      <c r="E61" s="256"/>
      <c r="F61" s="256"/>
      <c r="G61" s="256"/>
      <c r="H61" s="257"/>
    </row>
    <row r="62" spans="1:8" ht="12.75">
      <c r="A62" s="255"/>
      <c r="B62" s="256"/>
      <c r="C62" s="256"/>
      <c r="D62" s="256"/>
      <c r="E62" s="256"/>
      <c r="F62" s="256"/>
      <c r="G62" s="256"/>
      <c r="H62" s="257"/>
    </row>
    <row r="63" spans="1:8" ht="13.5" thickBot="1">
      <c r="A63" s="258"/>
      <c r="B63" s="259"/>
      <c r="C63" s="259"/>
      <c r="D63" s="259"/>
      <c r="E63" s="259"/>
      <c r="F63" s="259"/>
      <c r="G63" s="259"/>
      <c r="H63" s="260"/>
    </row>
  </sheetData>
  <sheetProtection/>
  <mergeCells count="10">
    <mergeCell ref="A60:H63"/>
    <mergeCell ref="A1:D1"/>
    <mergeCell ref="E1:G1"/>
    <mergeCell ref="A3:C3"/>
    <mergeCell ref="A8:C8"/>
    <mergeCell ref="A35:C35"/>
    <mergeCell ref="A31:C31"/>
    <mergeCell ref="A29:C29"/>
    <mergeCell ref="A27:C27"/>
    <mergeCell ref="A25:C25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19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Sensatiwiteitsanali'!B24</f>
        <v>2484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2.5</v>
      </c>
      <c r="E5" s="88">
        <v>3</v>
      </c>
      <c r="F5" s="88">
        <v>3.5</v>
      </c>
      <c r="G5" s="88">
        <v>4</v>
      </c>
      <c r="H5" s="88">
        <v>5</v>
      </c>
      <c r="I5" s="88">
        <v>6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6210</v>
      </c>
      <c r="E6" s="66">
        <f t="shared" si="0"/>
        <v>7452</v>
      </c>
      <c r="F6" s="66">
        <f t="shared" si="0"/>
        <v>8694</v>
      </c>
      <c r="G6" s="66">
        <f t="shared" si="0"/>
        <v>9936</v>
      </c>
      <c r="H6" s="66">
        <f t="shared" si="0"/>
        <v>12420</v>
      </c>
      <c r="I6" s="66">
        <f t="shared" si="0"/>
        <v>14904</v>
      </c>
      <c r="J6" s="4"/>
      <c r="K6" s="15"/>
    </row>
    <row r="7" spans="1:13" ht="15.7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277" t="s">
        <v>110</v>
      </c>
      <c r="L7" s="277"/>
      <c r="M7" s="277"/>
    </row>
    <row r="8" spans="1:13" ht="15.7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239" t="s">
        <v>111</v>
      </c>
      <c r="L8" s="239" t="s">
        <v>112</v>
      </c>
      <c r="M8" s="239" t="s">
        <v>113</v>
      </c>
    </row>
    <row r="9" spans="1:13" ht="15">
      <c r="A9" s="116" t="s">
        <v>31</v>
      </c>
      <c r="B9" s="117"/>
      <c r="C9" s="117"/>
      <c r="D9" s="59">
        <v>698.4</v>
      </c>
      <c r="E9" s="59">
        <v>785.7</v>
      </c>
      <c r="F9" s="59">
        <v>785.7</v>
      </c>
      <c r="G9" s="59">
        <v>873</v>
      </c>
      <c r="H9" s="59">
        <v>960.3000000000001</v>
      </c>
      <c r="I9" s="59">
        <v>960.3000000000001</v>
      </c>
      <c r="J9" s="4"/>
      <c r="K9" s="240">
        <f>D5</f>
        <v>2.5</v>
      </c>
      <c r="L9" s="240">
        <f>D25</f>
        <v>5551.7728306164945</v>
      </c>
      <c r="M9" s="240">
        <f>D27</f>
        <v>2303.5742718094207</v>
      </c>
    </row>
    <row r="10" spans="1:13" ht="15">
      <c r="A10" s="113" t="s">
        <v>32</v>
      </c>
      <c r="B10" s="118"/>
      <c r="C10" s="118"/>
      <c r="D10" s="60">
        <v>1347.5</v>
      </c>
      <c r="E10" s="60">
        <v>1595</v>
      </c>
      <c r="F10" s="60">
        <v>1842.5</v>
      </c>
      <c r="G10" s="60">
        <v>2090</v>
      </c>
      <c r="H10" s="60">
        <v>2585</v>
      </c>
      <c r="I10" s="60">
        <v>3080</v>
      </c>
      <c r="J10" s="4"/>
      <c r="K10" s="240">
        <f>E5</f>
        <v>3</v>
      </c>
      <c r="L10" s="240">
        <f>E25</f>
        <v>5918.161870861644</v>
      </c>
      <c r="M10" s="240">
        <f>E27</f>
        <v>2303.5742718094207</v>
      </c>
    </row>
    <row r="11" spans="1:13" ht="1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319.44000000000005</v>
      </c>
      <c r="I11" s="60">
        <v>319.44000000000005</v>
      </c>
      <c r="J11" s="4"/>
      <c r="K11" s="240">
        <f>F5</f>
        <v>3.5</v>
      </c>
      <c r="L11" s="240">
        <f>F25</f>
        <v>6425.2060009487495</v>
      </c>
      <c r="M11" s="240">
        <f>F27</f>
        <v>2303.5742718094207</v>
      </c>
    </row>
    <row r="12" spans="1:13" ht="15">
      <c r="A12" s="113" t="s">
        <v>34</v>
      </c>
      <c r="B12" s="118"/>
      <c r="C12" s="118"/>
      <c r="D12" s="60">
        <v>919.6064319999999</v>
      </c>
      <c r="E12" s="60">
        <v>830.535682</v>
      </c>
      <c r="F12" s="60">
        <v>953.446932</v>
      </c>
      <c r="G12" s="60">
        <v>970.367182</v>
      </c>
      <c r="H12" s="60">
        <v>997.822682</v>
      </c>
      <c r="I12" s="60">
        <v>1025.278182</v>
      </c>
      <c r="J12" s="4"/>
      <c r="K12" s="240">
        <f>G5</f>
        <v>4</v>
      </c>
      <c r="L12" s="240">
        <f>G25</f>
        <v>6911.1646152097055</v>
      </c>
      <c r="M12" s="240">
        <f>G27</f>
        <v>2303.5742718094207</v>
      </c>
    </row>
    <row r="13" spans="1:13" ht="15">
      <c r="A13" s="113" t="s">
        <v>35</v>
      </c>
      <c r="B13" s="118"/>
      <c r="C13" s="118"/>
      <c r="D13" s="60">
        <v>583.894695</v>
      </c>
      <c r="E13" s="60">
        <v>587.4194449999999</v>
      </c>
      <c r="F13" s="60">
        <v>590.9441949999999</v>
      </c>
      <c r="G13" s="60">
        <v>594.4689449999998</v>
      </c>
      <c r="H13" s="60">
        <v>601.5184449999999</v>
      </c>
      <c r="I13" s="60">
        <v>608.5679449999999</v>
      </c>
      <c r="J13" s="4"/>
      <c r="K13" s="240">
        <f>H5</f>
        <v>5</v>
      </c>
      <c r="L13" s="240">
        <f>H25</f>
        <v>7777.394799155466</v>
      </c>
      <c r="M13" s="240">
        <f>H27</f>
        <v>2303.5742718094207</v>
      </c>
    </row>
    <row r="14" spans="1:13" ht="15">
      <c r="A14" s="113" t="s">
        <v>36</v>
      </c>
      <c r="B14" s="118"/>
      <c r="C14" s="118"/>
      <c r="D14" s="60">
        <v>516.8249999999999</v>
      </c>
      <c r="E14" s="60">
        <v>516.8249999999999</v>
      </c>
      <c r="F14" s="60">
        <v>516.8249999999999</v>
      </c>
      <c r="G14" s="60">
        <v>516.8249999999999</v>
      </c>
      <c r="H14" s="60">
        <v>516.8249999999999</v>
      </c>
      <c r="I14" s="60">
        <v>516.8249999999999</v>
      </c>
      <c r="J14" s="4"/>
      <c r="K14" s="240">
        <f>I5</f>
        <v>6</v>
      </c>
      <c r="L14" s="240">
        <f>I25</f>
        <v>8545.140924911573</v>
      </c>
      <c r="M14" s="240">
        <f>I27</f>
        <v>2303.5742718094207</v>
      </c>
    </row>
    <row r="15" spans="1:11" ht="12.75">
      <c r="A15" s="113" t="s">
        <v>37</v>
      </c>
      <c r="B15" s="118"/>
      <c r="C15" s="118"/>
      <c r="D15" s="60">
        <v>158</v>
      </c>
      <c r="E15" s="60">
        <v>158</v>
      </c>
      <c r="F15" s="60">
        <v>158</v>
      </c>
      <c r="G15" s="60">
        <v>158</v>
      </c>
      <c r="H15" s="60">
        <v>158</v>
      </c>
      <c r="I15" s="60">
        <v>158</v>
      </c>
      <c r="J15" s="4"/>
      <c r="K15" s="15"/>
    </row>
    <row r="16" spans="1:11" ht="12.75">
      <c r="A16" s="113" t="s">
        <v>38</v>
      </c>
      <c r="B16" s="118"/>
      <c r="C16" s="118"/>
      <c r="D16" s="60">
        <v>135.72</v>
      </c>
      <c r="E16" s="60">
        <v>162.864</v>
      </c>
      <c r="F16" s="60">
        <v>190.00800000000004</v>
      </c>
      <c r="G16" s="60">
        <v>217.152</v>
      </c>
      <c r="H16" s="60">
        <v>271.44</v>
      </c>
      <c r="I16" s="60">
        <v>325.728</v>
      </c>
      <c r="J16" s="4"/>
      <c r="K16" s="15"/>
    </row>
    <row r="17" spans="1:11" ht="12.75">
      <c r="A17" s="113" t="s">
        <v>39</v>
      </c>
      <c r="B17" s="118"/>
      <c r="C17" s="118"/>
      <c r="D17" s="60">
        <v>353.5417925287356</v>
      </c>
      <c r="E17" s="60">
        <v>376.87376989942527</v>
      </c>
      <c r="F17" s="60">
        <v>409.16278750000004</v>
      </c>
      <c r="G17" s="60">
        <v>440.1090608477012</v>
      </c>
      <c r="H17" s="60">
        <v>495.2713632902299</v>
      </c>
      <c r="I17" s="60">
        <v>544.1621140086206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241.91562500000003</v>
      </c>
      <c r="E19" s="60">
        <v>290.29875000000004</v>
      </c>
      <c r="F19" s="60">
        <v>338.68187500000005</v>
      </c>
      <c r="G19" s="60">
        <v>387.06500000000005</v>
      </c>
      <c r="H19" s="60">
        <v>483.83125000000007</v>
      </c>
      <c r="I19" s="60">
        <v>580.5975000000001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276.9292860877586</v>
      </c>
      <c r="E24" s="60">
        <v>295.20522396221975</v>
      </c>
      <c r="F24" s="60">
        <v>320.49721144874997</v>
      </c>
      <c r="G24" s="60">
        <v>344.7374273620042</v>
      </c>
      <c r="H24" s="60">
        <v>387.94605886523703</v>
      </c>
      <c r="I24" s="60">
        <v>426.24218390295255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 aca="true" t="shared" si="1" ref="D25:I25">SUM(D9:D24)</f>
        <v>5551.7728306164945</v>
      </c>
      <c r="E25" s="61">
        <f t="shared" si="1"/>
        <v>5918.161870861644</v>
      </c>
      <c r="F25" s="61">
        <f t="shared" si="1"/>
        <v>6425.2060009487495</v>
      </c>
      <c r="G25" s="61">
        <f t="shared" si="1"/>
        <v>6911.1646152097055</v>
      </c>
      <c r="H25" s="61">
        <f t="shared" si="1"/>
        <v>7777.394799155466</v>
      </c>
      <c r="I25" s="61">
        <f t="shared" si="1"/>
        <v>8545.140924911573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2303.5742718094207</v>
      </c>
      <c r="E27" s="61">
        <v>2303.5742718094207</v>
      </c>
      <c r="F27" s="61">
        <v>2303.5742718094207</v>
      </c>
      <c r="G27" s="61">
        <v>2303.5742718094207</v>
      </c>
      <c r="H27" s="61">
        <v>2303.5742718094207</v>
      </c>
      <c r="I27" s="61">
        <v>2303.5742718094207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 aca="true" t="shared" si="2" ref="D29:I29">D25+D27</f>
        <v>7855.347102425915</v>
      </c>
      <c r="E29" s="61">
        <f t="shared" si="2"/>
        <v>8221.736142671065</v>
      </c>
      <c r="F29" s="61">
        <f t="shared" si="2"/>
        <v>8728.78027275817</v>
      </c>
      <c r="G29" s="61">
        <f t="shared" si="2"/>
        <v>9214.738887019126</v>
      </c>
      <c r="H29" s="61">
        <f t="shared" si="2"/>
        <v>10080.969070964886</v>
      </c>
      <c r="I29" s="61">
        <f t="shared" si="2"/>
        <v>10848.715196720994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 aca="true" t="shared" si="3" ref="D31:I31">D29/D5</f>
        <v>3142.138840970366</v>
      </c>
      <c r="E31" s="61">
        <f t="shared" si="3"/>
        <v>2740.578714223688</v>
      </c>
      <c r="F31" s="61">
        <f t="shared" si="3"/>
        <v>2493.9372207880483</v>
      </c>
      <c r="G31" s="61">
        <f t="shared" si="3"/>
        <v>2303.6847217547815</v>
      </c>
      <c r="H31" s="61">
        <f t="shared" si="3"/>
        <v>2016.1938141929772</v>
      </c>
      <c r="I31" s="61">
        <f t="shared" si="3"/>
        <v>1808.119199453499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Sensatiwiteitsanali'!D4</f>
        <v>216</v>
      </c>
      <c r="E33" s="61">
        <f>$D$33</f>
        <v>216</v>
      </c>
      <c r="F33" s="61">
        <f>$D$33</f>
        <v>216</v>
      </c>
      <c r="G33" s="61">
        <f>$D$33</f>
        <v>216</v>
      </c>
      <c r="H33" s="61">
        <f>$D$33</f>
        <v>216</v>
      </c>
      <c r="I33" s="61">
        <f>$D$33</f>
        <v>216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 aca="true" t="shared" si="4" ref="D35:I35">D31+D33</f>
        <v>3358.138840970366</v>
      </c>
      <c r="E35" s="63">
        <f t="shared" si="4"/>
        <v>2956.578714223688</v>
      </c>
      <c r="F35" s="63">
        <f t="shared" si="4"/>
        <v>2709.9372207880483</v>
      </c>
      <c r="G35" s="63">
        <f t="shared" si="4"/>
        <v>2519.6847217547815</v>
      </c>
      <c r="H35" s="63">
        <f t="shared" si="4"/>
        <v>2232.1938141929772</v>
      </c>
      <c r="I35" s="63">
        <f t="shared" si="4"/>
        <v>2024.119199453499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12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2564.75</v>
      </c>
      <c r="D44" s="47">
        <v>2664.75</v>
      </c>
      <c r="E44" s="48">
        <v>2764.75</v>
      </c>
      <c r="F44" s="47">
        <v>2864.75</v>
      </c>
      <c r="G44" s="49">
        <v>2964.75</v>
      </c>
      <c r="H44" s="45"/>
      <c r="I44" s="15"/>
      <c r="J44" s="4"/>
    </row>
    <row r="45" spans="1:10" ht="12.75">
      <c r="A45" s="5"/>
      <c r="B45" s="50">
        <v>2.5</v>
      </c>
      <c r="C45" s="72">
        <v>-1443.4721024259152</v>
      </c>
      <c r="D45" s="73">
        <v>-1193.4721024259152</v>
      </c>
      <c r="E45" s="73">
        <v>-943.4721024259152</v>
      </c>
      <c r="F45" s="73">
        <v>-693.4721024259152</v>
      </c>
      <c r="G45" s="74">
        <v>-443.4721024259152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3</v>
      </c>
      <c r="C47" s="75">
        <v>-527.486142671065</v>
      </c>
      <c r="D47" s="68">
        <v>-227.48614267106495</v>
      </c>
      <c r="E47" s="68">
        <v>72.51385732893505</v>
      </c>
      <c r="F47" s="68">
        <v>372.51385732893505</v>
      </c>
      <c r="G47" s="69">
        <v>672.513857328935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3.5</v>
      </c>
      <c r="C49" s="75">
        <v>247.8447272418307</v>
      </c>
      <c r="D49" s="68">
        <v>597.8447272418307</v>
      </c>
      <c r="E49" s="77">
        <v>947.8447272418307</v>
      </c>
      <c r="F49" s="68">
        <v>1297.8447272418307</v>
      </c>
      <c r="G49" s="69">
        <v>1647.8447272418307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4</v>
      </c>
      <c r="C51" s="75">
        <v>1044.2611129808738</v>
      </c>
      <c r="D51" s="68">
        <v>1444.2611129808738</v>
      </c>
      <c r="E51" s="68">
        <v>1844.2611129808738</v>
      </c>
      <c r="F51" s="68">
        <v>2244.261112980874</v>
      </c>
      <c r="G51" s="69">
        <v>2644.261112980874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5</v>
      </c>
      <c r="C53" s="75">
        <v>2742.7809290351142</v>
      </c>
      <c r="D53" s="68">
        <v>3242.7809290351142</v>
      </c>
      <c r="E53" s="68">
        <v>3742.7809290351142</v>
      </c>
      <c r="F53" s="68">
        <v>4242.780929035114</v>
      </c>
      <c r="G53" s="69">
        <v>4742.780929035114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6</v>
      </c>
      <c r="C55" s="79">
        <v>4539.784803279006</v>
      </c>
      <c r="D55" s="80">
        <v>5139.784803279006</v>
      </c>
      <c r="E55" s="80">
        <v>5739.784803279006</v>
      </c>
      <c r="F55" s="80">
        <v>6339.784803279006</v>
      </c>
      <c r="G55" s="81">
        <v>6939.784803279006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  <row r="60" spans="1:8" ht="12.75">
      <c r="A60" s="252" t="s">
        <v>17</v>
      </c>
      <c r="B60" s="253"/>
      <c r="C60" s="253"/>
      <c r="D60" s="253"/>
      <c r="E60" s="253"/>
      <c r="F60" s="253"/>
      <c r="G60" s="253"/>
      <c r="H60" s="254"/>
    </row>
    <row r="61" spans="1:8" ht="12.75">
      <c r="A61" s="255"/>
      <c r="B61" s="256"/>
      <c r="C61" s="256"/>
      <c r="D61" s="256"/>
      <c r="E61" s="256"/>
      <c r="F61" s="256"/>
      <c r="G61" s="256"/>
      <c r="H61" s="257"/>
    </row>
    <row r="62" spans="1:8" ht="12.75">
      <c r="A62" s="255"/>
      <c r="B62" s="256"/>
      <c r="C62" s="256"/>
      <c r="D62" s="256"/>
      <c r="E62" s="256"/>
      <c r="F62" s="256"/>
      <c r="G62" s="256"/>
      <c r="H62" s="257"/>
    </row>
    <row r="63" spans="1:8" ht="13.5" thickBot="1">
      <c r="A63" s="258"/>
      <c r="B63" s="259"/>
      <c r="C63" s="259"/>
      <c r="D63" s="259"/>
      <c r="E63" s="259"/>
      <c r="F63" s="259"/>
      <c r="G63" s="259"/>
      <c r="H63" s="260"/>
    </row>
  </sheetData>
  <sheetProtection/>
  <mergeCells count="11">
    <mergeCell ref="A27:C27"/>
    <mergeCell ref="A25:C25"/>
    <mergeCell ref="K7:M7"/>
    <mergeCell ref="A60:H63"/>
    <mergeCell ref="A1:D1"/>
    <mergeCell ref="E1:G1"/>
    <mergeCell ref="A3:C3"/>
    <mergeCell ref="A8:C8"/>
    <mergeCell ref="A35:C35"/>
    <mergeCell ref="A31:C31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20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Sensatiwiteitsanali'!B24</f>
        <v>2484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2.5</v>
      </c>
      <c r="E5" s="88">
        <v>3</v>
      </c>
      <c r="F5" s="88">
        <v>3.5</v>
      </c>
      <c r="G5" s="88">
        <v>4</v>
      </c>
      <c r="H5" s="88">
        <v>5</v>
      </c>
      <c r="I5" s="88">
        <v>6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6210</v>
      </c>
      <c r="E6" s="66">
        <f t="shared" si="0"/>
        <v>7452</v>
      </c>
      <c r="F6" s="66">
        <f t="shared" si="0"/>
        <v>8694</v>
      </c>
      <c r="G6" s="66">
        <f t="shared" si="0"/>
        <v>9936</v>
      </c>
      <c r="H6" s="66">
        <f t="shared" si="0"/>
        <v>12420</v>
      </c>
      <c r="I6" s="66">
        <f t="shared" si="0"/>
        <v>14904</v>
      </c>
      <c r="J6" s="4"/>
      <c r="K6" s="15"/>
    </row>
    <row r="7" spans="1:13" ht="15.7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277" t="s">
        <v>117</v>
      </c>
      <c r="L7" s="277"/>
      <c r="M7" s="277"/>
    </row>
    <row r="8" spans="1:13" ht="15.7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239" t="s">
        <v>111</v>
      </c>
      <c r="L8" s="239" t="s">
        <v>112</v>
      </c>
      <c r="M8" s="239" t="s">
        <v>113</v>
      </c>
    </row>
    <row r="9" spans="1:13" ht="15">
      <c r="A9" s="116" t="s">
        <v>31</v>
      </c>
      <c r="B9" s="117"/>
      <c r="C9" s="117"/>
      <c r="D9" s="59">
        <v>792</v>
      </c>
      <c r="E9" s="59">
        <v>891</v>
      </c>
      <c r="F9" s="59">
        <v>891</v>
      </c>
      <c r="G9" s="59">
        <v>990</v>
      </c>
      <c r="H9" s="59">
        <v>1089</v>
      </c>
      <c r="I9" s="59">
        <v>1089</v>
      </c>
      <c r="J9" s="4"/>
      <c r="K9" s="240">
        <f>D5</f>
        <v>2.5</v>
      </c>
      <c r="L9" s="240">
        <f>D25</f>
        <v>5819.056964036259</v>
      </c>
      <c r="M9" s="240">
        <f>D27</f>
        <v>2303.5742718094207</v>
      </c>
    </row>
    <row r="10" spans="1:13" ht="15">
      <c r="A10" s="113" t="s">
        <v>32</v>
      </c>
      <c r="B10" s="118"/>
      <c r="C10" s="118"/>
      <c r="D10" s="60">
        <v>1347.5</v>
      </c>
      <c r="E10" s="60">
        <v>1595</v>
      </c>
      <c r="F10" s="60">
        <v>1842.5</v>
      </c>
      <c r="G10" s="60">
        <v>2090</v>
      </c>
      <c r="H10" s="60">
        <v>2585</v>
      </c>
      <c r="I10" s="60">
        <v>3080</v>
      </c>
      <c r="J10" s="4"/>
      <c r="K10" s="240">
        <f>E5</f>
        <v>3</v>
      </c>
      <c r="L10" s="240">
        <f>E25</f>
        <v>6201.3739745645</v>
      </c>
      <c r="M10" s="240">
        <f>E27</f>
        <v>2303.5742718094207</v>
      </c>
    </row>
    <row r="11" spans="1:13" ht="1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319.44000000000005</v>
      </c>
      <c r="I11" s="60">
        <v>319.44000000000005</v>
      </c>
      <c r="J11" s="4"/>
      <c r="K11" s="240">
        <f>F5</f>
        <v>3.5</v>
      </c>
      <c r="L11" s="240">
        <f>F25</f>
        <v>6711.147180538144</v>
      </c>
      <c r="M11" s="240">
        <f>F27</f>
        <v>2303.5742718094207</v>
      </c>
    </row>
    <row r="12" spans="1:13" ht="15">
      <c r="A12" s="113" t="s">
        <v>34</v>
      </c>
      <c r="B12" s="118"/>
      <c r="C12" s="118"/>
      <c r="D12" s="60">
        <v>919.6064319999999</v>
      </c>
      <c r="E12" s="60">
        <v>830.535682</v>
      </c>
      <c r="F12" s="60">
        <v>953.446932</v>
      </c>
      <c r="G12" s="60">
        <v>970.367182</v>
      </c>
      <c r="H12" s="60">
        <v>997.822682</v>
      </c>
      <c r="I12" s="60">
        <v>1025.278182</v>
      </c>
      <c r="J12" s="4"/>
      <c r="K12" s="240">
        <f>G5</f>
        <v>4</v>
      </c>
      <c r="L12" s="240">
        <f>G25</f>
        <v>7213.033765082191</v>
      </c>
      <c r="M12" s="240">
        <f>G27</f>
        <v>2303.5742718094207</v>
      </c>
    </row>
    <row r="13" spans="1:13" ht="15">
      <c r="A13" s="113" t="s">
        <v>35</v>
      </c>
      <c r="B13" s="118"/>
      <c r="C13" s="118"/>
      <c r="D13" s="60">
        <v>583.894695</v>
      </c>
      <c r="E13" s="60">
        <v>587.4194449999999</v>
      </c>
      <c r="F13" s="60">
        <v>590.9441949999999</v>
      </c>
      <c r="G13" s="60">
        <v>594.4689449999998</v>
      </c>
      <c r="H13" s="60">
        <v>601.5184449999999</v>
      </c>
      <c r="I13" s="60">
        <v>608.5679449999999</v>
      </c>
      <c r="J13" s="4"/>
      <c r="K13" s="240">
        <f>H5</f>
        <v>5</v>
      </c>
      <c r="L13" s="240">
        <f>H25</f>
        <v>8097.920995197582</v>
      </c>
      <c r="M13" s="240">
        <f>H27</f>
        <v>2303.5742718094207</v>
      </c>
    </row>
    <row r="14" spans="1:13" ht="15">
      <c r="A14" s="113" t="s">
        <v>36</v>
      </c>
      <c r="B14" s="118"/>
      <c r="C14" s="118"/>
      <c r="D14" s="60">
        <v>648.06</v>
      </c>
      <c r="E14" s="60">
        <v>648.06</v>
      </c>
      <c r="F14" s="60">
        <v>648.06</v>
      </c>
      <c r="G14" s="60">
        <v>648.06</v>
      </c>
      <c r="H14" s="60">
        <v>648.06</v>
      </c>
      <c r="I14" s="60">
        <v>648.06</v>
      </c>
      <c r="J14" s="4"/>
      <c r="K14" s="240">
        <f>I5</f>
        <v>6</v>
      </c>
      <c r="L14" s="240">
        <f>I25</f>
        <v>8871.12527272677</v>
      </c>
      <c r="M14" s="240">
        <f>I27</f>
        <v>2303.5742718094207</v>
      </c>
    </row>
    <row r="15" spans="1:11" ht="12.75">
      <c r="A15" s="113" t="s">
        <v>37</v>
      </c>
      <c r="B15" s="118"/>
      <c r="C15" s="118"/>
      <c r="D15" s="60">
        <v>158</v>
      </c>
      <c r="E15" s="60">
        <v>158</v>
      </c>
      <c r="F15" s="60">
        <v>158</v>
      </c>
      <c r="G15" s="60">
        <v>158</v>
      </c>
      <c r="H15" s="60">
        <v>158</v>
      </c>
      <c r="I15" s="60">
        <v>158</v>
      </c>
      <c r="J15" s="4"/>
      <c r="K15" s="15"/>
    </row>
    <row r="16" spans="1:11" ht="12.75">
      <c r="A16" s="113" t="s">
        <v>38</v>
      </c>
      <c r="B16" s="118"/>
      <c r="C16" s="118"/>
      <c r="D16" s="60">
        <v>135.72</v>
      </c>
      <c r="E16" s="60">
        <v>162.864</v>
      </c>
      <c r="F16" s="60">
        <v>190.00800000000004</v>
      </c>
      <c r="G16" s="60">
        <v>217.152</v>
      </c>
      <c r="H16" s="60">
        <v>271.44</v>
      </c>
      <c r="I16" s="60">
        <v>325.728</v>
      </c>
      <c r="J16" s="4"/>
      <c r="K16" s="15"/>
    </row>
    <row r="17" spans="1:11" ht="12.75">
      <c r="A17" s="113" t="s">
        <v>39</v>
      </c>
      <c r="B17" s="118"/>
      <c r="C17" s="118"/>
      <c r="D17" s="60">
        <v>370.5626819863505</v>
      </c>
      <c r="E17" s="60">
        <v>394.9089665589081</v>
      </c>
      <c r="F17" s="60">
        <v>427.3717741199713</v>
      </c>
      <c r="G17" s="60">
        <v>459.3323546695403</v>
      </c>
      <c r="H17" s="60">
        <v>515.6827542744253</v>
      </c>
      <c r="I17" s="60">
        <v>564.921084913793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254.01140625000002</v>
      </c>
      <c r="E19" s="60">
        <v>304.8136875</v>
      </c>
      <c r="F19" s="60">
        <v>355.6159687500001</v>
      </c>
      <c r="G19" s="60">
        <v>406.41825000000006</v>
      </c>
      <c r="H19" s="60">
        <v>508.02281250000004</v>
      </c>
      <c r="I19" s="60">
        <v>609.627375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290.2617487999084</v>
      </c>
      <c r="E24" s="60">
        <v>309.3321935055926</v>
      </c>
      <c r="F24" s="60">
        <v>334.76031066817353</v>
      </c>
      <c r="G24" s="60">
        <v>359.79503341265087</v>
      </c>
      <c r="H24" s="60">
        <v>403.93430142315725</v>
      </c>
      <c r="I24" s="60">
        <v>442.5026858129742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 aca="true" t="shared" si="1" ref="D25:I25">SUM(D9:D24)</f>
        <v>5819.056964036259</v>
      </c>
      <c r="E25" s="61">
        <f t="shared" si="1"/>
        <v>6201.3739745645</v>
      </c>
      <c r="F25" s="61">
        <f t="shared" si="1"/>
        <v>6711.147180538144</v>
      </c>
      <c r="G25" s="61">
        <f t="shared" si="1"/>
        <v>7213.033765082191</v>
      </c>
      <c r="H25" s="61">
        <f t="shared" si="1"/>
        <v>8097.920995197582</v>
      </c>
      <c r="I25" s="61">
        <f t="shared" si="1"/>
        <v>8871.12527272677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2303.5742718094207</v>
      </c>
      <c r="E27" s="61">
        <v>2303.5742718094207</v>
      </c>
      <c r="F27" s="61">
        <v>2303.5742718094207</v>
      </c>
      <c r="G27" s="61">
        <v>2303.5742718094207</v>
      </c>
      <c r="H27" s="61">
        <v>2303.5742718094207</v>
      </c>
      <c r="I27" s="61">
        <v>2303.5742718094207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 aca="true" t="shared" si="2" ref="D29:I29">D25+D27</f>
        <v>8122.63123584568</v>
      </c>
      <c r="E29" s="61">
        <f t="shared" si="2"/>
        <v>8504.94824637392</v>
      </c>
      <c r="F29" s="61">
        <f t="shared" si="2"/>
        <v>9014.721452347565</v>
      </c>
      <c r="G29" s="61">
        <f t="shared" si="2"/>
        <v>9516.608036891612</v>
      </c>
      <c r="H29" s="61">
        <f t="shared" si="2"/>
        <v>10401.495267007002</v>
      </c>
      <c r="I29" s="61">
        <f t="shared" si="2"/>
        <v>11174.69954453619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 aca="true" t="shared" si="3" ref="D31:I31">D29/D5</f>
        <v>3249.052494338272</v>
      </c>
      <c r="E31" s="61">
        <f t="shared" si="3"/>
        <v>2834.9827487913067</v>
      </c>
      <c r="F31" s="61">
        <f t="shared" si="3"/>
        <v>2575.634700670733</v>
      </c>
      <c r="G31" s="61">
        <f t="shared" si="3"/>
        <v>2379.152009222903</v>
      </c>
      <c r="H31" s="61">
        <f t="shared" si="3"/>
        <v>2080.2990534014</v>
      </c>
      <c r="I31" s="61">
        <f t="shared" si="3"/>
        <v>1862.449924089365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Sensatiwiteitsanali'!D4</f>
        <v>216</v>
      </c>
      <c r="E33" s="61">
        <f>$D$33</f>
        <v>216</v>
      </c>
      <c r="F33" s="61">
        <f>$D$33</f>
        <v>216</v>
      </c>
      <c r="G33" s="61">
        <f>$D$33</f>
        <v>216</v>
      </c>
      <c r="H33" s="61">
        <f>$D$33</f>
        <v>216</v>
      </c>
      <c r="I33" s="61">
        <f>$D$33</f>
        <v>216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 aca="true" t="shared" si="4" ref="D35:I35">D31+D33</f>
        <v>3465.052494338272</v>
      </c>
      <c r="E35" s="63">
        <f t="shared" si="4"/>
        <v>3050.9827487913067</v>
      </c>
      <c r="F35" s="63">
        <f t="shared" si="4"/>
        <v>2791.634700670733</v>
      </c>
      <c r="G35" s="63">
        <f t="shared" si="4"/>
        <v>2595.152009222903</v>
      </c>
      <c r="H35" s="63">
        <f t="shared" si="4"/>
        <v>2296.2990534014</v>
      </c>
      <c r="I35" s="63">
        <f t="shared" si="4"/>
        <v>2078.4499240893647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11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2584</v>
      </c>
      <c r="D44" s="47">
        <v>2684</v>
      </c>
      <c r="E44" s="48">
        <v>2784</v>
      </c>
      <c r="F44" s="47">
        <v>2884</v>
      </c>
      <c r="G44" s="49">
        <v>2984</v>
      </c>
      <c r="H44" s="45"/>
      <c r="I44" s="15"/>
      <c r="J44" s="4"/>
    </row>
    <row r="45" spans="1:10" ht="12.75">
      <c r="A45" s="5"/>
      <c r="B45" s="50">
        <v>2.5</v>
      </c>
      <c r="C45" s="72">
        <v>-1662.6312358456798</v>
      </c>
      <c r="D45" s="73">
        <v>-1412.6312358456798</v>
      </c>
      <c r="E45" s="73">
        <v>-1162.6312358456798</v>
      </c>
      <c r="F45" s="73">
        <v>-912.6312358456798</v>
      </c>
      <c r="G45" s="74">
        <v>-662.6312358456798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3</v>
      </c>
      <c r="C47" s="75">
        <v>-752.9482463739205</v>
      </c>
      <c r="D47" s="68">
        <v>-452.9482463739205</v>
      </c>
      <c r="E47" s="68">
        <v>-152.94824637392048</v>
      </c>
      <c r="F47" s="68">
        <v>147.05175362607952</v>
      </c>
      <c r="G47" s="69">
        <v>447.0517536260795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3.5</v>
      </c>
      <c r="C49" s="75">
        <v>29.27854765243501</v>
      </c>
      <c r="D49" s="68">
        <v>379.278547652435</v>
      </c>
      <c r="E49" s="77">
        <v>729.278547652435</v>
      </c>
      <c r="F49" s="68">
        <v>1079.278547652435</v>
      </c>
      <c r="G49" s="69">
        <v>1429.278547652435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4</v>
      </c>
      <c r="C51" s="75">
        <v>819.3919631083882</v>
      </c>
      <c r="D51" s="68">
        <v>1219.3919631083882</v>
      </c>
      <c r="E51" s="68">
        <v>1619.3919631083882</v>
      </c>
      <c r="F51" s="68">
        <v>2019.3919631083882</v>
      </c>
      <c r="G51" s="69">
        <v>2419.391963108388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5</v>
      </c>
      <c r="C53" s="75">
        <v>2518.5047329929985</v>
      </c>
      <c r="D53" s="68">
        <v>3018.5047329929985</v>
      </c>
      <c r="E53" s="68">
        <v>3518.5047329929985</v>
      </c>
      <c r="F53" s="68">
        <v>4018.5047329929985</v>
      </c>
      <c r="G53" s="69">
        <v>4518.5047329929985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6</v>
      </c>
      <c r="C55" s="79">
        <v>4329.30045546381</v>
      </c>
      <c r="D55" s="80">
        <v>4929.30045546381</v>
      </c>
      <c r="E55" s="80">
        <v>5529.30045546381</v>
      </c>
      <c r="F55" s="80">
        <v>6129.30045546381</v>
      </c>
      <c r="G55" s="81">
        <v>6729.30045546381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  <row r="60" spans="1:8" ht="12.75">
      <c r="A60" s="252" t="s">
        <v>17</v>
      </c>
      <c r="B60" s="253"/>
      <c r="C60" s="253"/>
      <c r="D60" s="253"/>
      <c r="E60" s="253"/>
      <c r="F60" s="253"/>
      <c r="G60" s="253"/>
      <c r="H60" s="254"/>
    </row>
    <row r="61" spans="1:8" ht="12.75">
      <c r="A61" s="255"/>
      <c r="B61" s="256"/>
      <c r="C61" s="256"/>
      <c r="D61" s="256"/>
      <c r="E61" s="256"/>
      <c r="F61" s="256"/>
      <c r="G61" s="256"/>
      <c r="H61" s="257"/>
    </row>
    <row r="62" spans="1:8" ht="12.75">
      <c r="A62" s="255"/>
      <c r="B62" s="256"/>
      <c r="C62" s="256"/>
      <c r="D62" s="256"/>
      <c r="E62" s="256"/>
      <c r="F62" s="256"/>
      <c r="G62" s="256"/>
      <c r="H62" s="257"/>
    </row>
    <row r="63" spans="1:8" ht="13.5" thickBot="1">
      <c r="A63" s="258"/>
      <c r="B63" s="259"/>
      <c r="C63" s="259"/>
      <c r="D63" s="259"/>
      <c r="E63" s="259"/>
      <c r="F63" s="259"/>
      <c r="G63" s="259"/>
      <c r="H63" s="260"/>
    </row>
  </sheetData>
  <sheetProtection/>
  <mergeCells count="11">
    <mergeCell ref="A27:C27"/>
    <mergeCell ref="A25:C25"/>
    <mergeCell ref="K7:M7"/>
    <mergeCell ref="A60:H63"/>
    <mergeCell ref="A1:D1"/>
    <mergeCell ref="E1:G1"/>
    <mergeCell ref="A3:C3"/>
    <mergeCell ref="A8:C8"/>
    <mergeCell ref="A35:C35"/>
    <mergeCell ref="A31:C31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21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Sensatiwiteitsanali'!B24</f>
        <v>2484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4"/>
      <c r="E4" s="67"/>
      <c r="F4" s="85"/>
      <c r="G4" s="86"/>
      <c r="H4" s="87"/>
      <c r="I4" s="87"/>
      <c r="J4" s="4"/>
      <c r="K4" s="15"/>
    </row>
    <row r="5" spans="1:11" ht="13.5" thickBot="1">
      <c r="A5" s="111" t="s">
        <v>28</v>
      </c>
      <c r="B5" s="9"/>
      <c r="C5" s="9"/>
      <c r="D5" s="88">
        <v>2.5</v>
      </c>
      <c r="E5" s="88">
        <v>3</v>
      </c>
      <c r="F5" s="88">
        <v>3.5</v>
      </c>
      <c r="G5" s="88">
        <v>4</v>
      </c>
      <c r="H5" s="88">
        <v>5</v>
      </c>
      <c r="I5" s="88">
        <v>6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6210</v>
      </c>
      <c r="E6" s="66">
        <f t="shared" si="0"/>
        <v>7452</v>
      </c>
      <c r="F6" s="66">
        <f t="shared" si="0"/>
        <v>8694</v>
      </c>
      <c r="G6" s="66">
        <f t="shared" si="0"/>
        <v>9936</v>
      </c>
      <c r="H6" s="66">
        <f t="shared" si="0"/>
        <v>12420</v>
      </c>
      <c r="I6" s="66">
        <f t="shared" si="0"/>
        <v>14904</v>
      </c>
      <c r="J6" s="4"/>
      <c r="K6" s="15"/>
    </row>
    <row r="7" spans="1:11" ht="13.5" thickBot="1">
      <c r="A7" s="108"/>
      <c r="B7" s="109"/>
      <c r="C7" s="109"/>
      <c r="D7" s="82"/>
      <c r="E7" s="82"/>
      <c r="F7" s="82"/>
      <c r="G7" s="82"/>
      <c r="H7" s="82"/>
      <c r="I7" s="82"/>
      <c r="J7" s="4"/>
      <c r="K7" s="15"/>
    </row>
    <row r="8" spans="1:11" ht="13.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15"/>
    </row>
    <row r="9" spans="1:11" ht="12.75">
      <c r="A9" s="116" t="s">
        <v>31</v>
      </c>
      <c r="B9" s="117"/>
      <c r="C9" s="117"/>
      <c r="D9" s="59">
        <v>820.96</v>
      </c>
      <c r="E9" s="59">
        <v>923.5800000000002</v>
      </c>
      <c r="F9" s="59">
        <v>923.5800000000002</v>
      </c>
      <c r="G9" s="59">
        <v>1026.2</v>
      </c>
      <c r="H9" s="59">
        <v>1128.8200000000002</v>
      </c>
      <c r="I9" s="59">
        <v>1128.8200000000002</v>
      </c>
      <c r="J9" s="4"/>
      <c r="K9" s="15"/>
    </row>
    <row r="10" spans="1:11" ht="12.75">
      <c r="A10" s="113" t="s">
        <v>32</v>
      </c>
      <c r="B10" s="118"/>
      <c r="C10" s="118"/>
      <c r="D10" s="60">
        <v>1347.5</v>
      </c>
      <c r="E10" s="60">
        <v>1595</v>
      </c>
      <c r="F10" s="60">
        <v>1842.5</v>
      </c>
      <c r="G10" s="60">
        <v>2090</v>
      </c>
      <c r="H10" s="60">
        <v>2585</v>
      </c>
      <c r="I10" s="60">
        <v>3080</v>
      </c>
      <c r="J10" s="4"/>
      <c r="K10" s="15"/>
    </row>
    <row r="11" spans="1:11" ht="12.7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319.44000000000005</v>
      </c>
      <c r="I11" s="60">
        <v>319.44000000000005</v>
      </c>
      <c r="J11" s="4"/>
      <c r="K11" s="15"/>
    </row>
    <row r="12" spans="1:11" ht="12.75">
      <c r="A12" s="113" t="s">
        <v>34</v>
      </c>
      <c r="B12" s="118"/>
      <c r="C12" s="118"/>
      <c r="D12" s="60">
        <v>919.6064319999999</v>
      </c>
      <c r="E12" s="60">
        <v>830.535682</v>
      </c>
      <c r="F12" s="60">
        <v>953.446932</v>
      </c>
      <c r="G12" s="60">
        <v>970.367182</v>
      </c>
      <c r="H12" s="60">
        <v>997.822682</v>
      </c>
      <c r="I12" s="60">
        <v>1025.278182</v>
      </c>
      <c r="J12" s="4"/>
      <c r="K12" s="15"/>
    </row>
    <row r="13" spans="1:11" ht="12.75">
      <c r="A13" s="113" t="s">
        <v>35</v>
      </c>
      <c r="B13" s="118"/>
      <c r="C13" s="118"/>
      <c r="D13" s="60">
        <v>583.894695</v>
      </c>
      <c r="E13" s="60">
        <v>587.4194449999999</v>
      </c>
      <c r="F13" s="60">
        <v>590.9441949999999</v>
      </c>
      <c r="G13" s="60">
        <v>594.4689449999998</v>
      </c>
      <c r="H13" s="60">
        <v>601.5184449999999</v>
      </c>
      <c r="I13" s="60">
        <v>608.5679449999999</v>
      </c>
      <c r="J13" s="4"/>
      <c r="K13" s="15"/>
    </row>
    <row r="14" spans="1:11" ht="12.75">
      <c r="A14" s="113" t="s">
        <v>36</v>
      </c>
      <c r="B14" s="118"/>
      <c r="C14" s="118"/>
      <c r="D14" s="60">
        <v>516.8249999999999</v>
      </c>
      <c r="E14" s="60">
        <v>516.8249999999999</v>
      </c>
      <c r="F14" s="60">
        <v>516.8249999999999</v>
      </c>
      <c r="G14" s="60">
        <v>516.8249999999999</v>
      </c>
      <c r="H14" s="60">
        <v>516.8249999999999</v>
      </c>
      <c r="I14" s="60">
        <v>516.8249999999999</v>
      </c>
      <c r="J14" s="4"/>
      <c r="K14" s="15"/>
    </row>
    <row r="15" spans="1:11" ht="12.75">
      <c r="A15" s="113" t="s">
        <v>37</v>
      </c>
      <c r="B15" s="118"/>
      <c r="C15" s="118"/>
      <c r="D15" s="60">
        <v>158</v>
      </c>
      <c r="E15" s="60">
        <v>158</v>
      </c>
      <c r="F15" s="60">
        <v>158</v>
      </c>
      <c r="G15" s="60">
        <v>158</v>
      </c>
      <c r="H15" s="60">
        <v>158</v>
      </c>
      <c r="I15" s="60">
        <v>158</v>
      </c>
      <c r="J15" s="4"/>
      <c r="K15" s="15"/>
    </row>
    <row r="16" spans="1:11" ht="12.75">
      <c r="A16" s="113" t="s">
        <v>38</v>
      </c>
      <c r="B16" s="118"/>
      <c r="C16" s="118"/>
      <c r="D16" s="60">
        <v>135.72</v>
      </c>
      <c r="E16" s="60">
        <v>162.864</v>
      </c>
      <c r="F16" s="60">
        <v>190.00800000000004</v>
      </c>
      <c r="G16" s="60">
        <v>217.152</v>
      </c>
      <c r="H16" s="60">
        <v>271.44</v>
      </c>
      <c r="I16" s="60">
        <v>325.728</v>
      </c>
      <c r="J16" s="4"/>
      <c r="K16" s="15"/>
    </row>
    <row r="17" spans="1:11" ht="12.75">
      <c r="A17" s="113" t="s">
        <v>39</v>
      </c>
      <c r="B17" s="118"/>
      <c r="C17" s="118"/>
      <c r="D17" s="60">
        <v>362.34639022988506</v>
      </c>
      <c r="E17" s="60">
        <v>386.77894231321835</v>
      </c>
      <c r="F17" s="60">
        <v>419.0679599137932</v>
      </c>
      <c r="G17" s="60">
        <v>451.11480797413793</v>
      </c>
      <c r="H17" s="60">
        <v>507.3776851293103</v>
      </c>
      <c r="I17" s="60">
        <v>556.2684358477011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241.91562500000003</v>
      </c>
      <c r="E19" s="60">
        <v>290.29875000000004</v>
      </c>
      <c r="F19" s="60">
        <v>338.68187500000005</v>
      </c>
      <c r="G19" s="60">
        <v>387.06500000000005</v>
      </c>
      <c r="H19" s="60">
        <v>483.83125000000007</v>
      </c>
      <c r="I19" s="60">
        <v>580.5975000000001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283.82592746706894</v>
      </c>
      <c r="E24" s="60">
        <v>302.96394551394394</v>
      </c>
      <c r="F24" s="60">
        <v>328.2559330004741</v>
      </c>
      <c r="G24" s="60">
        <v>353.3582290861422</v>
      </c>
      <c r="H24" s="60">
        <v>397.42894076178874</v>
      </c>
      <c r="I24" s="60">
        <v>435.7250657995043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 aca="true" t="shared" si="1" ref="D25:I25">SUM(D9:D24)</f>
        <v>5690.034069696954</v>
      </c>
      <c r="E25" s="61">
        <f t="shared" si="1"/>
        <v>6073.705764827161</v>
      </c>
      <c r="F25" s="61">
        <f t="shared" si="1"/>
        <v>6580.749894914266</v>
      </c>
      <c r="G25" s="61">
        <f t="shared" si="1"/>
        <v>7083.9911640602795</v>
      </c>
      <c r="H25" s="61">
        <f t="shared" si="1"/>
        <v>7967.504002891099</v>
      </c>
      <c r="I25" s="61">
        <f t="shared" si="1"/>
        <v>8735.250128647205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2303.5742718094207</v>
      </c>
      <c r="E27" s="61">
        <v>2303.5742718094207</v>
      </c>
      <c r="F27" s="61">
        <v>2303.5742718094207</v>
      </c>
      <c r="G27" s="61">
        <v>2303.5742718094207</v>
      </c>
      <c r="H27" s="61">
        <v>2303.5742718094207</v>
      </c>
      <c r="I27" s="61">
        <v>2303.5742718094207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 aca="true" t="shared" si="2" ref="D29:I29">D25+D27</f>
        <v>7993.608341506375</v>
      </c>
      <c r="E29" s="61">
        <f t="shared" si="2"/>
        <v>8377.280036636581</v>
      </c>
      <c r="F29" s="61">
        <f t="shared" si="2"/>
        <v>8884.324166723687</v>
      </c>
      <c r="G29" s="61">
        <f t="shared" si="2"/>
        <v>9387.5654358697</v>
      </c>
      <c r="H29" s="61">
        <f t="shared" si="2"/>
        <v>10271.07827470052</v>
      </c>
      <c r="I29" s="61">
        <f t="shared" si="2"/>
        <v>11038.824400456626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 aca="true" t="shared" si="3" ref="D31:I31">D29/D5</f>
        <v>3197.44333660255</v>
      </c>
      <c r="E31" s="61">
        <f t="shared" si="3"/>
        <v>2792.4266788788605</v>
      </c>
      <c r="F31" s="61">
        <f t="shared" si="3"/>
        <v>2538.378333349625</v>
      </c>
      <c r="G31" s="61">
        <f t="shared" si="3"/>
        <v>2346.891358967425</v>
      </c>
      <c r="H31" s="61">
        <f t="shared" si="3"/>
        <v>2054.215654940104</v>
      </c>
      <c r="I31" s="61">
        <f t="shared" si="3"/>
        <v>1839.804066742771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Sensatiwiteitsanali'!D4</f>
        <v>216</v>
      </c>
      <c r="E33" s="61">
        <f>$D$33</f>
        <v>216</v>
      </c>
      <c r="F33" s="61">
        <f>$D$33</f>
        <v>216</v>
      </c>
      <c r="G33" s="61">
        <f>$D$33</f>
        <v>216</v>
      </c>
      <c r="H33" s="61">
        <f>$D$33</f>
        <v>216</v>
      </c>
      <c r="I33" s="61">
        <f>$D$33</f>
        <v>216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 aca="true" t="shared" si="4" ref="D35:I35">D31+D33</f>
        <v>3413.44333660255</v>
      </c>
      <c r="E35" s="63">
        <f t="shared" si="4"/>
        <v>3008.4266788788605</v>
      </c>
      <c r="F35" s="63">
        <f t="shared" si="4"/>
        <v>2754.378333349625</v>
      </c>
      <c r="G35" s="63">
        <f t="shared" si="4"/>
        <v>2562.891358967425</v>
      </c>
      <c r="H35" s="63">
        <f t="shared" si="4"/>
        <v>2270.215654940104</v>
      </c>
      <c r="I35" s="63">
        <f t="shared" si="4"/>
        <v>2055.8040667427713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Sensatiwiteitsanali'!B4</f>
        <v>2700</v>
      </c>
      <c r="E36" s="63">
        <f>$D$36</f>
        <v>2700</v>
      </c>
      <c r="F36" s="63">
        <f>$D$36</f>
        <v>2700</v>
      </c>
      <c r="G36" s="63">
        <f>$D$36</f>
        <v>2700</v>
      </c>
      <c r="H36" s="63">
        <f>$D$36</f>
        <v>2700</v>
      </c>
      <c r="I36" s="63">
        <f>$D$36</f>
        <v>2700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10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2584</v>
      </c>
      <c r="D44" s="47">
        <v>2684</v>
      </c>
      <c r="E44" s="48">
        <v>2784</v>
      </c>
      <c r="F44" s="47">
        <v>2884</v>
      </c>
      <c r="G44" s="49">
        <v>2984</v>
      </c>
      <c r="H44" s="45"/>
      <c r="I44" s="15"/>
      <c r="J44" s="4"/>
    </row>
    <row r="45" spans="1:10" ht="12.75">
      <c r="A45" s="5"/>
      <c r="B45" s="50">
        <v>2.5</v>
      </c>
      <c r="C45" s="72">
        <v>-1533.608341506375</v>
      </c>
      <c r="D45" s="73">
        <v>-1283.608341506375</v>
      </c>
      <c r="E45" s="73">
        <v>-1033.608341506375</v>
      </c>
      <c r="F45" s="73">
        <v>-783.6083415063749</v>
      </c>
      <c r="G45" s="74">
        <v>-533.6083415063749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3</v>
      </c>
      <c r="C47" s="75">
        <v>-625.2800366365809</v>
      </c>
      <c r="D47" s="68">
        <v>-325.2800366365809</v>
      </c>
      <c r="E47" s="68">
        <v>-25.280036636580917</v>
      </c>
      <c r="F47" s="68">
        <v>274.7199633634191</v>
      </c>
      <c r="G47" s="69">
        <v>574.7199633634191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3.5</v>
      </c>
      <c r="C49" s="75">
        <v>159.67583327631291</v>
      </c>
      <c r="D49" s="68">
        <v>509.6758332763129</v>
      </c>
      <c r="E49" s="77">
        <v>859.6758332763129</v>
      </c>
      <c r="F49" s="68">
        <v>1209.675833276313</v>
      </c>
      <c r="G49" s="69">
        <v>1559.675833276313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4</v>
      </c>
      <c r="C51" s="75">
        <v>948.4345641303007</v>
      </c>
      <c r="D51" s="68">
        <v>1348.4345641303007</v>
      </c>
      <c r="E51" s="68">
        <v>1748.4345641303007</v>
      </c>
      <c r="F51" s="68">
        <v>2148.4345641303007</v>
      </c>
      <c r="G51" s="69">
        <v>2548.4345641303007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5</v>
      </c>
      <c r="C53" s="75">
        <v>2648.9217252994804</v>
      </c>
      <c r="D53" s="68">
        <v>3148.9217252994804</v>
      </c>
      <c r="E53" s="68">
        <v>3648.9217252994804</v>
      </c>
      <c r="F53" s="68">
        <v>4148.92172529948</v>
      </c>
      <c r="G53" s="69">
        <v>4648.92172529948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6</v>
      </c>
      <c r="C55" s="79">
        <v>4465.175599543374</v>
      </c>
      <c r="D55" s="80">
        <v>5065.175599543374</v>
      </c>
      <c r="E55" s="80">
        <v>5665.175599543374</v>
      </c>
      <c r="F55" s="80">
        <v>6265.175599543374</v>
      </c>
      <c r="G55" s="81">
        <v>6865.175599543374</v>
      </c>
      <c r="H55" s="45"/>
      <c r="I55" s="15"/>
    </row>
    <row r="56" spans="1:10" ht="15">
      <c r="A56" s="93" t="s">
        <v>14</v>
      </c>
      <c r="B56" s="94"/>
      <c r="C56" s="94"/>
      <c r="D56" s="94"/>
      <c r="E56" s="94"/>
      <c r="F56" s="94"/>
      <c r="G56" s="94"/>
      <c r="H56" s="95"/>
      <c r="I56" s="96"/>
      <c r="J56" s="96"/>
    </row>
    <row r="57" spans="1:10" ht="15">
      <c r="A57" s="97" t="s">
        <v>15</v>
      </c>
      <c r="B57" s="98"/>
      <c r="C57" s="98"/>
      <c r="D57" s="98"/>
      <c r="E57" s="98"/>
      <c r="F57" s="98"/>
      <c r="G57" s="98"/>
      <c r="H57" s="99"/>
      <c r="I57" s="96"/>
      <c r="J57" s="96"/>
    </row>
    <row r="58" spans="1:10" ht="15.75" thickBot="1">
      <c r="A58" s="100" t="s">
        <v>16</v>
      </c>
      <c r="B58" s="101"/>
      <c r="C58" s="101"/>
      <c r="D58" s="101"/>
      <c r="E58" s="101"/>
      <c r="F58" s="101"/>
      <c r="G58" s="101"/>
      <c r="H58" s="102"/>
      <c r="I58" s="96"/>
      <c r="J58" s="96"/>
    </row>
    <row r="59" spans="1:8" ht="12.75">
      <c r="A59" s="252" t="s">
        <v>17</v>
      </c>
      <c r="B59" s="253"/>
      <c r="C59" s="253"/>
      <c r="D59" s="253"/>
      <c r="E59" s="253"/>
      <c r="F59" s="253"/>
      <c r="G59" s="253"/>
      <c r="H59" s="254"/>
    </row>
    <row r="60" spans="1:8" ht="12.75">
      <c r="A60" s="255"/>
      <c r="B60" s="256"/>
      <c r="C60" s="256"/>
      <c r="D60" s="256"/>
      <c r="E60" s="256"/>
      <c r="F60" s="256"/>
      <c r="G60" s="256"/>
      <c r="H60" s="257"/>
    </row>
    <row r="61" spans="1:8" ht="12.75">
      <c r="A61" s="255"/>
      <c r="B61" s="256"/>
      <c r="C61" s="256"/>
      <c r="D61" s="256"/>
      <c r="E61" s="256"/>
      <c r="F61" s="256"/>
      <c r="G61" s="256"/>
      <c r="H61" s="257"/>
    </row>
    <row r="62" spans="1:8" ht="13.5" thickBot="1">
      <c r="A62" s="258"/>
      <c r="B62" s="259"/>
      <c r="C62" s="259"/>
      <c r="D62" s="259"/>
      <c r="E62" s="259"/>
      <c r="F62" s="259"/>
      <c r="G62" s="259"/>
      <c r="H62" s="260"/>
    </row>
  </sheetData>
  <sheetProtection/>
  <mergeCells count="10">
    <mergeCell ref="A59:H62"/>
    <mergeCell ref="A1:D1"/>
    <mergeCell ref="E1:G1"/>
    <mergeCell ref="A3:C3"/>
    <mergeCell ref="A8:C8"/>
    <mergeCell ref="A35:C35"/>
    <mergeCell ref="A31:C31"/>
    <mergeCell ref="A29:C29"/>
    <mergeCell ref="A27:C27"/>
    <mergeCell ref="A25:C2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1.7109375" style="2" customWidth="1"/>
    <col min="3" max="3" width="12.140625" style="2" customWidth="1"/>
    <col min="4" max="4" width="11.140625" style="2" customWidth="1"/>
    <col min="5" max="5" width="10.8515625" style="2" customWidth="1"/>
    <col min="6" max="9" width="11.28125" style="2" customWidth="1"/>
    <col min="10" max="10" width="9.140625" style="2" customWidth="1"/>
    <col min="11" max="12" width="9.140625" style="2" hidden="1" customWidth="1"/>
    <col min="13" max="13" width="10.8515625" style="2" hidden="1" customWidth="1"/>
    <col min="14" max="15" width="10.8515625" style="2" customWidth="1"/>
    <col min="16" max="16" width="12.7109375" style="2" hidden="1" customWidth="1"/>
    <col min="17" max="17" width="3.00390625" style="2" hidden="1" customWidth="1"/>
    <col min="18" max="21" width="12.7109375" style="2" hidden="1" customWidth="1"/>
    <col min="22" max="22" width="9.7109375" style="2" customWidth="1"/>
    <col min="23" max="23" width="6.140625" style="2" customWidth="1"/>
    <col min="24" max="26" width="12.7109375" style="2" customWidth="1"/>
    <col min="27" max="16384" width="9.140625" style="2" customWidth="1"/>
  </cols>
  <sheetData>
    <row r="1" spans="1:10" s="4" customFormat="1" ht="32.25" customHeight="1" thickBot="1">
      <c r="A1" s="278" t="s">
        <v>24</v>
      </c>
      <c r="B1" s="279"/>
      <c r="C1" s="279"/>
      <c r="D1" s="279"/>
      <c r="E1" s="263" t="s">
        <v>26</v>
      </c>
      <c r="F1" s="263"/>
      <c r="G1" s="263"/>
      <c r="H1" s="16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6"/>
      <c r="I2" s="6"/>
      <c r="J2" s="4"/>
    </row>
    <row r="3" spans="1:9" ht="25.5" customHeight="1" thickBot="1">
      <c r="A3" s="264" t="s">
        <v>27</v>
      </c>
      <c r="B3" s="265"/>
      <c r="C3" s="265"/>
      <c r="D3" s="58"/>
      <c r="E3" s="70">
        <f>'Pryse + Sensatiwiteitsanali'!B76</f>
        <v>3437</v>
      </c>
      <c r="F3" s="58" t="s">
        <v>3</v>
      </c>
      <c r="G3" s="20"/>
      <c r="H3" s="7"/>
      <c r="I3" s="7"/>
    </row>
    <row r="4" spans="1:10" ht="13.5" thickBot="1">
      <c r="A4" s="105"/>
      <c r="B4" s="9"/>
      <c r="C4" s="9"/>
      <c r="D4" s="8"/>
      <c r="E4" s="11"/>
      <c r="F4" s="21"/>
      <c r="G4" s="9"/>
      <c r="H4" s="22"/>
      <c r="I4" s="22"/>
      <c r="J4" s="4"/>
    </row>
    <row r="5" spans="1:10" ht="13.5" thickBot="1">
      <c r="A5" s="111" t="s">
        <v>28</v>
      </c>
      <c r="B5" s="9"/>
      <c r="C5" s="9"/>
      <c r="D5" s="88">
        <v>2</v>
      </c>
      <c r="E5" s="88">
        <v>2.5</v>
      </c>
      <c r="F5" s="88">
        <v>3</v>
      </c>
      <c r="G5" s="88">
        <v>3.5</v>
      </c>
      <c r="H5" s="88">
        <v>4</v>
      </c>
      <c r="I5" s="88">
        <v>0</v>
      </c>
      <c r="J5" s="4"/>
    </row>
    <row r="6" spans="1:10" ht="13.5" thickBot="1">
      <c r="A6" s="112" t="s">
        <v>29</v>
      </c>
      <c r="B6" s="107"/>
      <c r="C6" s="110"/>
      <c r="D6" s="66">
        <f aca="true" t="shared" si="0" ref="D6:I6">$E$3*D5</f>
        <v>6874</v>
      </c>
      <c r="E6" s="66">
        <f t="shared" si="0"/>
        <v>8592.5</v>
      </c>
      <c r="F6" s="66">
        <f t="shared" si="0"/>
        <v>10311</v>
      </c>
      <c r="G6" s="66">
        <f t="shared" si="0"/>
        <v>12029.5</v>
      </c>
      <c r="H6" s="66">
        <f t="shared" si="0"/>
        <v>13748</v>
      </c>
      <c r="I6" s="66">
        <f t="shared" si="0"/>
        <v>0</v>
      </c>
      <c r="J6" s="4"/>
    </row>
    <row r="7" spans="1:13" ht="15.7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277" t="s">
        <v>114</v>
      </c>
      <c r="L7" s="277"/>
      <c r="M7" s="277"/>
    </row>
    <row r="8" spans="1:13" ht="15.7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239" t="s">
        <v>111</v>
      </c>
      <c r="L8" s="239" t="s">
        <v>112</v>
      </c>
      <c r="M8" s="239" t="s">
        <v>113</v>
      </c>
    </row>
    <row r="9" spans="1:13" ht="15">
      <c r="A9" s="116" t="s">
        <v>31</v>
      </c>
      <c r="B9" s="117"/>
      <c r="C9" s="117"/>
      <c r="D9" s="59">
        <v>291.2</v>
      </c>
      <c r="E9" s="59">
        <v>327.59999999999997</v>
      </c>
      <c r="F9" s="59">
        <v>364</v>
      </c>
      <c r="G9" s="59">
        <v>364</v>
      </c>
      <c r="H9" s="59">
        <v>400.4</v>
      </c>
      <c r="I9" s="59">
        <v>0</v>
      </c>
      <c r="J9" s="4"/>
      <c r="K9" s="240">
        <f>D5</f>
        <v>2</v>
      </c>
      <c r="L9" s="240">
        <f>D25</f>
        <v>4828.077644193255</v>
      </c>
      <c r="M9" s="240">
        <f>D27</f>
        <v>2604.6161231891856</v>
      </c>
    </row>
    <row r="10" spans="1:13" ht="15">
      <c r="A10" s="113" t="s">
        <v>32</v>
      </c>
      <c r="B10" s="118"/>
      <c r="C10" s="118"/>
      <c r="D10" s="60">
        <v>824.6999999999999</v>
      </c>
      <c r="E10" s="60">
        <v>943</v>
      </c>
      <c r="F10" s="60">
        <v>1288.3</v>
      </c>
      <c r="G10" s="60">
        <v>1592.8999999999999</v>
      </c>
      <c r="H10" s="60">
        <v>1967.3999999999999</v>
      </c>
      <c r="I10" s="60">
        <v>0</v>
      </c>
      <c r="J10" s="4"/>
      <c r="K10" s="240">
        <f>E5</f>
        <v>2.5</v>
      </c>
      <c r="L10" s="240">
        <f>E25</f>
        <v>5133.578414893688</v>
      </c>
      <c r="M10" s="240">
        <f>E27</f>
        <v>2604.6161231891856</v>
      </c>
    </row>
    <row r="11" spans="1:13" ht="1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319.44000000000005</v>
      </c>
      <c r="I11" s="60">
        <v>0</v>
      </c>
      <c r="J11" s="4"/>
      <c r="K11" s="240">
        <f>F5</f>
        <v>3</v>
      </c>
      <c r="L11" s="240">
        <f>F25</f>
        <v>5690.956680169659</v>
      </c>
      <c r="M11" s="240">
        <f>F27</f>
        <v>2604.6161231891856</v>
      </c>
    </row>
    <row r="12" spans="1:13" ht="15">
      <c r="A12" s="113" t="s">
        <v>34</v>
      </c>
      <c r="B12" s="118"/>
      <c r="C12" s="118"/>
      <c r="D12" s="60">
        <v>1040.817306</v>
      </c>
      <c r="E12" s="60">
        <v>1057.737556</v>
      </c>
      <c r="F12" s="60">
        <v>1074.657806</v>
      </c>
      <c r="G12" s="60">
        <v>1091.578056</v>
      </c>
      <c r="H12" s="60">
        <v>1108.498306</v>
      </c>
      <c r="I12" s="60">
        <v>0</v>
      </c>
      <c r="J12" s="4"/>
      <c r="K12" s="240">
        <f>G5</f>
        <v>3.5</v>
      </c>
      <c r="L12" s="240">
        <f>G25</f>
        <v>6162.785364688915</v>
      </c>
      <c r="M12" s="240">
        <f>G27</f>
        <v>2604.6161231891856</v>
      </c>
    </row>
    <row r="13" spans="1:13" ht="15">
      <c r="A13" s="113" t="s">
        <v>35</v>
      </c>
      <c r="B13" s="118"/>
      <c r="C13" s="118"/>
      <c r="D13" s="60">
        <v>514.78665</v>
      </c>
      <c r="E13" s="60">
        <v>518.3114</v>
      </c>
      <c r="F13" s="60">
        <v>521.83615</v>
      </c>
      <c r="G13" s="60">
        <v>525.3609</v>
      </c>
      <c r="H13" s="60">
        <v>528.8856499999999</v>
      </c>
      <c r="I13" s="60">
        <v>0</v>
      </c>
      <c r="J13" s="4"/>
      <c r="K13" s="240">
        <f>H5</f>
        <v>4</v>
      </c>
      <c r="L13" s="240">
        <f>H25</f>
        <v>6752.563730588698</v>
      </c>
      <c r="M13" s="240">
        <f>H27</f>
        <v>2604.6161231891856</v>
      </c>
    </row>
    <row r="14" spans="1:13" ht="15">
      <c r="A14" s="113" t="s">
        <v>36</v>
      </c>
      <c r="B14" s="118"/>
      <c r="C14" s="118"/>
      <c r="D14" s="60">
        <v>489.5</v>
      </c>
      <c r="E14" s="60">
        <v>489.5</v>
      </c>
      <c r="F14" s="60">
        <v>489.5</v>
      </c>
      <c r="G14" s="60">
        <v>489.5</v>
      </c>
      <c r="H14" s="60">
        <v>489.5</v>
      </c>
      <c r="I14" s="60">
        <v>0</v>
      </c>
      <c r="J14" s="4"/>
      <c r="K14" s="240">
        <f>I5</f>
        <v>0</v>
      </c>
      <c r="L14" s="240">
        <f>I25</f>
        <v>0</v>
      </c>
      <c r="M14" s="240">
        <f>I27</f>
        <v>0</v>
      </c>
    </row>
    <row r="15" spans="1:10" ht="12.75">
      <c r="A15" s="113" t="s">
        <v>37</v>
      </c>
      <c r="B15" s="118"/>
      <c r="C15" s="118"/>
      <c r="D15" s="60">
        <v>470.04499999999996</v>
      </c>
      <c r="E15" s="60">
        <v>470.04499999999996</v>
      </c>
      <c r="F15" s="60">
        <v>470.04499999999996</v>
      </c>
      <c r="G15" s="60">
        <v>470.04499999999996</v>
      </c>
      <c r="H15" s="60">
        <v>470.04499999999996</v>
      </c>
      <c r="I15" s="60">
        <v>0</v>
      </c>
      <c r="J15" s="4"/>
    </row>
    <row r="16" spans="1:10" ht="12.75">
      <c r="A16" s="113" t="s">
        <v>38</v>
      </c>
      <c r="B16" s="118"/>
      <c r="C16" s="118"/>
      <c r="D16" s="60">
        <v>143.793</v>
      </c>
      <c r="E16" s="60">
        <v>179.74125</v>
      </c>
      <c r="F16" s="60">
        <v>215.68949999999998</v>
      </c>
      <c r="G16" s="60">
        <v>251.63775000000004</v>
      </c>
      <c r="H16" s="60">
        <v>287.586</v>
      </c>
      <c r="I16" s="60">
        <v>0</v>
      </c>
      <c r="J16" s="4"/>
    </row>
    <row r="17" spans="1:10" ht="12.75">
      <c r="A17" s="113" t="s">
        <v>39</v>
      </c>
      <c r="B17" s="118"/>
      <c r="C17" s="118"/>
      <c r="D17" s="60">
        <v>236.0302118795769</v>
      </c>
      <c r="E17" s="60">
        <v>250.9652267968538</v>
      </c>
      <c r="F17" s="60">
        <v>278.21377575264444</v>
      </c>
      <c r="G17" s="60">
        <v>301.2800627068077</v>
      </c>
      <c r="H17" s="60">
        <v>330.1125552481692</v>
      </c>
      <c r="I17" s="60">
        <v>0</v>
      </c>
      <c r="J17" s="4"/>
    </row>
    <row r="18" spans="1:10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</row>
    <row r="19" spans="1:10" ht="12.75">
      <c r="A19" s="113" t="s">
        <v>41</v>
      </c>
      <c r="B19" s="118"/>
      <c r="C19" s="118"/>
      <c r="D19" s="60">
        <v>256.935</v>
      </c>
      <c r="E19" s="60">
        <v>321.16875000000005</v>
      </c>
      <c r="F19" s="60">
        <v>385.40250000000003</v>
      </c>
      <c r="G19" s="60">
        <v>449.63625</v>
      </c>
      <c r="H19" s="60">
        <v>513.87</v>
      </c>
      <c r="I19" s="60">
        <v>0</v>
      </c>
      <c r="J19" s="4"/>
    </row>
    <row r="20" spans="1:10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</row>
    <row r="21" spans="1:10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</row>
    <row r="22" spans="1:10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</row>
    <row r="23" spans="1:10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</row>
    <row r="24" spans="1:10" ht="13.5" thickBot="1">
      <c r="A24" s="113" t="s">
        <v>46</v>
      </c>
      <c r="B24" s="118"/>
      <c r="C24" s="118"/>
      <c r="D24" s="60">
        <v>240.8304763136778</v>
      </c>
      <c r="E24" s="60">
        <v>256.0692320968348</v>
      </c>
      <c r="F24" s="60">
        <v>283.87194841701387</v>
      </c>
      <c r="G24" s="60">
        <v>307.4073459821074</v>
      </c>
      <c r="H24" s="60">
        <v>336.82621934052884</v>
      </c>
      <c r="I24" s="60">
        <v>0</v>
      </c>
      <c r="J24" s="4"/>
    </row>
    <row r="25" spans="1:10" ht="27.75" customHeight="1" thickBot="1">
      <c r="A25" s="271" t="s">
        <v>47</v>
      </c>
      <c r="B25" s="272"/>
      <c r="C25" s="273"/>
      <c r="D25" s="61">
        <f aca="true" t="shared" si="1" ref="D25:I25">SUM(D9:D24)</f>
        <v>4828.077644193255</v>
      </c>
      <c r="E25" s="61">
        <f t="shared" si="1"/>
        <v>5133.578414893688</v>
      </c>
      <c r="F25" s="61">
        <f t="shared" si="1"/>
        <v>5690.956680169659</v>
      </c>
      <c r="G25" s="61">
        <f t="shared" si="1"/>
        <v>6162.785364688915</v>
      </c>
      <c r="H25" s="61">
        <f t="shared" si="1"/>
        <v>6752.563730588698</v>
      </c>
      <c r="I25" s="61">
        <f t="shared" si="1"/>
        <v>0</v>
      </c>
      <c r="J25" s="4"/>
    </row>
    <row r="26" spans="1:10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</row>
    <row r="27" spans="1:10" ht="13.5" thickBot="1">
      <c r="A27" s="274" t="s">
        <v>48</v>
      </c>
      <c r="B27" s="275"/>
      <c r="C27" s="276"/>
      <c r="D27" s="61">
        <v>2604.6161231891856</v>
      </c>
      <c r="E27" s="61">
        <v>2604.6161231891856</v>
      </c>
      <c r="F27" s="61">
        <v>2604.6161231891856</v>
      </c>
      <c r="G27" s="61">
        <v>2604.6161231891856</v>
      </c>
      <c r="H27" s="61">
        <v>2604.6161231891856</v>
      </c>
      <c r="I27" s="61">
        <v>0</v>
      </c>
      <c r="J27" s="25"/>
    </row>
    <row r="28" spans="1:10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</row>
    <row r="29" spans="1:10" ht="25.5" customHeight="1" thickBot="1">
      <c r="A29" s="271" t="s">
        <v>49</v>
      </c>
      <c r="B29" s="272"/>
      <c r="C29" s="273"/>
      <c r="D29" s="61">
        <f>D25+D27</f>
        <v>7432.6937673824405</v>
      </c>
      <c r="E29" s="61">
        <f>E25+E27</f>
        <v>7738.194538082874</v>
      </c>
      <c r="F29" s="61">
        <f>F25+F27</f>
        <v>8295.572803358846</v>
      </c>
      <c r="G29" s="61">
        <f>G25+G27</f>
        <v>8767.401487878102</v>
      </c>
      <c r="H29" s="61">
        <f>H25+H27</f>
        <v>9357.179853777883</v>
      </c>
      <c r="I29" s="61">
        <v>0</v>
      </c>
      <c r="J29" s="4"/>
    </row>
    <row r="30" spans="1:10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</row>
    <row r="31" spans="1:10" ht="25.5" customHeight="1" thickBot="1">
      <c r="A31" s="271" t="s">
        <v>50</v>
      </c>
      <c r="B31" s="272"/>
      <c r="C31" s="273"/>
      <c r="D31" s="61">
        <f>D29/D5</f>
        <v>3716.3468836912202</v>
      </c>
      <c r="E31" s="61">
        <f>E29/E5</f>
        <v>3095.2778152331493</v>
      </c>
      <c r="F31" s="61">
        <f>F29/F5</f>
        <v>2765.1909344529486</v>
      </c>
      <c r="G31" s="61">
        <f>G29/G5</f>
        <v>2504.9718536794576</v>
      </c>
      <c r="H31" s="61">
        <f>H29/H5</f>
        <v>2339.294963444471</v>
      </c>
      <c r="I31" s="61">
        <v>0</v>
      </c>
      <c r="J31" s="4"/>
    </row>
    <row r="32" spans="1:10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</row>
    <row r="33" spans="1:10" ht="13.5" thickBot="1">
      <c r="A33" s="106" t="s">
        <v>51</v>
      </c>
      <c r="B33" s="107"/>
      <c r="C33" s="107"/>
      <c r="D33" s="61">
        <f>'Pryse + Sensatiwiteitsanali'!D7</f>
        <v>63</v>
      </c>
      <c r="E33" s="61">
        <f>$D$33</f>
        <v>63</v>
      </c>
      <c r="F33" s="61">
        <f>$D$33</f>
        <v>63</v>
      </c>
      <c r="G33" s="61">
        <f>$D$33</f>
        <v>63</v>
      </c>
      <c r="H33" s="61">
        <f>$D$33</f>
        <v>63</v>
      </c>
      <c r="I33" s="61">
        <v>0</v>
      </c>
      <c r="J33" s="4"/>
    </row>
    <row r="34" spans="1:10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</row>
    <row r="35" spans="1:10" ht="13.5" thickBot="1">
      <c r="A35" s="264" t="s">
        <v>52</v>
      </c>
      <c r="B35" s="269"/>
      <c r="C35" s="270"/>
      <c r="D35" s="63">
        <f>D31+D33</f>
        <v>3779.3468836912202</v>
      </c>
      <c r="E35" s="63">
        <f>E31+E33</f>
        <v>3158.2778152331493</v>
      </c>
      <c r="F35" s="63">
        <f>F31+F33</f>
        <v>2828.1909344529486</v>
      </c>
      <c r="G35" s="63">
        <f>G31+G33</f>
        <v>2567.9718536794576</v>
      </c>
      <c r="H35" s="63">
        <f>H31+H33</f>
        <v>2402.294963444471</v>
      </c>
      <c r="I35" s="63">
        <v>0</v>
      </c>
      <c r="J35" s="4"/>
    </row>
    <row r="36" spans="1:10" ht="13.5" thickBot="1">
      <c r="A36" s="103" t="s">
        <v>53</v>
      </c>
      <c r="B36" s="104"/>
      <c r="C36" s="7"/>
      <c r="D36" s="63">
        <f>'Pryse + Sensatiwiteitsanali'!B7</f>
        <v>3500</v>
      </c>
      <c r="E36" s="63">
        <f>$D$36</f>
        <v>3500</v>
      </c>
      <c r="F36" s="63">
        <f>$D$36</f>
        <v>3500</v>
      </c>
      <c r="G36" s="63">
        <f>$D$36</f>
        <v>3500</v>
      </c>
      <c r="H36" s="63">
        <f>$D$36</f>
        <v>3500</v>
      </c>
      <c r="I36" s="63">
        <v>0</v>
      </c>
      <c r="J36" s="15"/>
    </row>
    <row r="37" spans="4:10" s="90" customFormat="1" ht="12.75">
      <c r="D37" s="91"/>
      <c r="E37" s="91"/>
      <c r="F37" s="91"/>
      <c r="G37" s="91"/>
      <c r="H37" s="91"/>
      <c r="I37" s="91">
        <v>0</v>
      </c>
      <c r="J37" s="92"/>
    </row>
    <row r="38" spans="1:19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  <c r="S38" s="4"/>
    </row>
    <row r="39" spans="1:19" ht="12.75">
      <c r="A39" s="1" t="s">
        <v>7</v>
      </c>
      <c r="B39" s="27"/>
      <c r="C39" s="28"/>
      <c r="D39" s="28"/>
      <c r="E39" s="28"/>
      <c r="F39" s="28"/>
      <c r="G39" s="28"/>
      <c r="H39" s="29"/>
      <c r="I39" s="15"/>
      <c r="J39" s="4"/>
      <c r="S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3487</v>
      </c>
      <c r="D44" s="47">
        <v>3587</v>
      </c>
      <c r="E44" s="48">
        <v>3687</v>
      </c>
      <c r="F44" s="47">
        <v>3787</v>
      </c>
      <c r="G44" s="49">
        <v>3887</v>
      </c>
      <c r="H44" s="45"/>
      <c r="I44" s="15"/>
      <c r="J44" s="4"/>
    </row>
    <row r="45" spans="1:10" ht="12.75">
      <c r="A45" s="5"/>
      <c r="B45" s="50">
        <v>2</v>
      </c>
      <c r="C45" s="72">
        <v>-458.69376738244046</v>
      </c>
      <c r="D45" s="73">
        <v>-258.69376738244046</v>
      </c>
      <c r="E45" s="73">
        <v>-58.693767382440456</v>
      </c>
      <c r="F45" s="73">
        <v>141.30623261755954</v>
      </c>
      <c r="G45" s="74">
        <v>341.30623261755954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2.5</v>
      </c>
      <c r="C47" s="75">
        <v>979.3054619171262</v>
      </c>
      <c r="D47" s="68">
        <v>1229.3054619171262</v>
      </c>
      <c r="E47" s="68">
        <v>1479.3054619171262</v>
      </c>
      <c r="F47" s="68">
        <v>1729.3054619171262</v>
      </c>
      <c r="G47" s="69">
        <v>1979.3054619171262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3</v>
      </c>
      <c r="C49" s="75">
        <v>2165.4271966411543</v>
      </c>
      <c r="D49" s="68">
        <v>2465.4271966411543</v>
      </c>
      <c r="E49" s="77">
        <v>2765.4271966411543</v>
      </c>
      <c r="F49" s="68">
        <v>3065.4271966411543</v>
      </c>
      <c r="G49" s="69">
        <v>3365.4271966411543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3.5</v>
      </c>
      <c r="C51" s="75">
        <v>3437.0985121218982</v>
      </c>
      <c r="D51" s="68">
        <v>3787.0985121218982</v>
      </c>
      <c r="E51" s="68">
        <v>4137.098512121898</v>
      </c>
      <c r="F51" s="68">
        <v>4487.098512121898</v>
      </c>
      <c r="G51" s="69">
        <v>4837.098512121898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4</v>
      </c>
      <c r="C53" s="75">
        <v>4590.820146222117</v>
      </c>
      <c r="D53" s="68">
        <v>4990.820146222117</v>
      </c>
      <c r="E53" s="68">
        <v>5390.820146222117</v>
      </c>
      <c r="F53" s="68">
        <v>5790.820146222117</v>
      </c>
      <c r="G53" s="69">
        <v>6190.820146222117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0</v>
      </c>
      <c r="C55" s="79">
        <v>0</v>
      </c>
      <c r="D55" s="80">
        <v>0</v>
      </c>
      <c r="E55" s="80">
        <v>0</v>
      </c>
      <c r="F55" s="80">
        <v>0</v>
      </c>
      <c r="G55" s="81">
        <v>0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</sheetData>
  <sheetProtection/>
  <mergeCells count="10">
    <mergeCell ref="K7:M7"/>
    <mergeCell ref="A1:D1"/>
    <mergeCell ref="E1:G1"/>
    <mergeCell ref="A3:C3"/>
    <mergeCell ref="A8:C8"/>
    <mergeCell ref="A35:C35"/>
    <mergeCell ref="A31:C31"/>
    <mergeCell ref="A29:C29"/>
    <mergeCell ref="A27:C27"/>
    <mergeCell ref="A25:C25"/>
  </mergeCells>
  <printOptions/>
  <pageMargins left="0.31496062992125984" right="0.31496062992125984" top="0.5511811023622047" bottom="0.5511811023622047" header="0.31496062992125984" footer="0.31496062992125984"/>
  <pageSetup fitToHeight="0" horizontalDpi="600" verticalDpi="600" orientation="portrait" scale="55" r:id="rId2"/>
  <headerFooter>
    <oddHeader>&amp;C&amp;F</oddHeader>
    <oddFooter>&amp;C&amp;A&amp;RPage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22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Sensatiwiteitsanali'!B5</f>
        <v>6000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1</v>
      </c>
      <c r="E5" s="88">
        <v>1.5</v>
      </c>
      <c r="F5" s="88">
        <v>2</v>
      </c>
      <c r="G5" s="88">
        <v>2.5</v>
      </c>
      <c r="H5" s="88">
        <v>0</v>
      </c>
      <c r="I5" s="88"/>
      <c r="J5" s="4"/>
      <c r="K5" s="15"/>
    </row>
    <row r="6" spans="1:11" ht="13.5" thickBot="1">
      <c r="A6" s="112" t="s">
        <v>29</v>
      </c>
      <c r="B6" s="107"/>
      <c r="C6" s="110"/>
      <c r="D6" s="66">
        <f>$E$3*D5</f>
        <v>6000</v>
      </c>
      <c r="E6" s="66">
        <f>$E$3*E5</f>
        <v>9000</v>
      </c>
      <c r="F6" s="66">
        <f>$E$3*F5</f>
        <v>12000</v>
      </c>
      <c r="G6" s="66">
        <f>$E$3*G5</f>
        <v>15000</v>
      </c>
      <c r="H6" s="66">
        <v>0</v>
      </c>
      <c r="I6" s="66">
        <v>0</v>
      </c>
      <c r="J6" s="4"/>
      <c r="K6" s="15"/>
    </row>
    <row r="7" spans="1:13" ht="15.7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277" t="s">
        <v>115</v>
      </c>
      <c r="L7" s="277"/>
      <c r="M7" s="277"/>
    </row>
    <row r="8" spans="1:13" ht="15.7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239" t="s">
        <v>111</v>
      </c>
      <c r="L8" s="239" t="s">
        <v>112</v>
      </c>
      <c r="M8" s="239" t="s">
        <v>113</v>
      </c>
    </row>
    <row r="9" spans="1:13" ht="15">
      <c r="A9" s="116" t="s">
        <v>31</v>
      </c>
      <c r="B9" s="117"/>
      <c r="C9" s="117"/>
      <c r="D9" s="59">
        <v>357.77777777777777</v>
      </c>
      <c r="E9" s="59">
        <v>408.8888888888889</v>
      </c>
      <c r="F9" s="59">
        <v>447.22222222222223</v>
      </c>
      <c r="G9" s="59">
        <v>485.5555555555556</v>
      </c>
      <c r="H9" s="59">
        <v>0</v>
      </c>
      <c r="I9" s="59">
        <v>0</v>
      </c>
      <c r="J9" s="4"/>
      <c r="K9" s="240">
        <f>D5</f>
        <v>1</v>
      </c>
      <c r="L9" s="240">
        <f>D25</f>
        <v>3861.662104867027</v>
      </c>
      <c r="M9" s="240">
        <f>D27</f>
        <v>1981.8726855310442</v>
      </c>
    </row>
    <row r="10" spans="1:13" ht="15">
      <c r="A10" s="113" t="s">
        <v>32</v>
      </c>
      <c r="B10" s="118"/>
      <c r="C10" s="118"/>
      <c r="D10" s="60">
        <v>740</v>
      </c>
      <c r="E10" s="60">
        <v>897.0999999999999</v>
      </c>
      <c r="F10" s="60">
        <v>1372.2</v>
      </c>
      <c r="G10" s="60">
        <v>1847.3</v>
      </c>
      <c r="H10" s="60">
        <v>0</v>
      </c>
      <c r="I10" s="60">
        <v>0</v>
      </c>
      <c r="J10" s="4"/>
      <c r="K10" s="240">
        <f>E5</f>
        <v>1.5</v>
      </c>
      <c r="L10" s="240">
        <f>E25</f>
        <v>4179.765736795367</v>
      </c>
      <c r="M10" s="240">
        <f>E27</f>
        <v>1981.8726855310442</v>
      </c>
    </row>
    <row r="11" spans="1:13" ht="15">
      <c r="A11" s="113" t="s">
        <v>33</v>
      </c>
      <c r="B11" s="118"/>
      <c r="C11" s="118"/>
      <c r="D11" s="60">
        <v>319.44000000000005</v>
      </c>
      <c r="E11" s="60">
        <v>319.44000000000005</v>
      </c>
      <c r="F11" s="60">
        <v>319.44000000000005</v>
      </c>
      <c r="G11" s="60">
        <v>319.44000000000005</v>
      </c>
      <c r="H11" s="60">
        <v>0</v>
      </c>
      <c r="I11" s="60">
        <v>0</v>
      </c>
      <c r="J11" s="4"/>
      <c r="K11" s="240">
        <f>F5</f>
        <v>2</v>
      </c>
      <c r="L11" s="240">
        <f>F25</f>
        <v>5027.36968894203</v>
      </c>
      <c r="M11" s="240">
        <f>F27</f>
        <v>1981.8726855310442</v>
      </c>
    </row>
    <row r="12" spans="1:13" ht="15">
      <c r="A12" s="113" t="s">
        <v>34</v>
      </c>
      <c r="B12" s="118"/>
      <c r="C12" s="118"/>
      <c r="D12" s="60">
        <v>802.4416819999999</v>
      </c>
      <c r="E12" s="60">
        <v>756.1504319999999</v>
      </c>
      <c r="F12" s="60">
        <v>836.2821819999999</v>
      </c>
      <c r="G12" s="60">
        <v>853.2024319999999</v>
      </c>
      <c r="H12" s="60">
        <v>0</v>
      </c>
      <c r="I12" s="60">
        <v>0</v>
      </c>
      <c r="J12" s="4"/>
      <c r="K12" s="240">
        <f>G5</f>
        <v>2.5</v>
      </c>
      <c r="L12" s="240">
        <f>G25</f>
        <v>5805.481600168918</v>
      </c>
      <c r="M12" s="240">
        <f>G27</f>
        <v>1981.8726855310442</v>
      </c>
    </row>
    <row r="13" spans="1:13" ht="15">
      <c r="A13" s="113" t="s">
        <v>35</v>
      </c>
      <c r="B13" s="118"/>
      <c r="C13" s="118"/>
      <c r="D13" s="60">
        <v>493.0849449999999</v>
      </c>
      <c r="E13" s="60">
        <v>496.60969499999993</v>
      </c>
      <c r="F13" s="60">
        <v>500.1344449999999</v>
      </c>
      <c r="G13" s="60">
        <v>503.6591949999999</v>
      </c>
      <c r="H13" s="60">
        <v>0</v>
      </c>
      <c r="I13" s="60">
        <v>0</v>
      </c>
      <c r="J13" s="4"/>
      <c r="K13" s="240">
        <f>H5</f>
        <v>0</v>
      </c>
      <c r="L13" s="240">
        <f>H25</f>
        <v>0</v>
      </c>
      <c r="M13" s="240">
        <f>H27</f>
        <v>0</v>
      </c>
    </row>
    <row r="14" spans="1:11" ht="12.75">
      <c r="A14" s="113" t="s">
        <v>36</v>
      </c>
      <c r="B14" s="118"/>
      <c r="C14" s="118"/>
      <c r="D14" s="60">
        <v>372.09</v>
      </c>
      <c r="E14" s="60">
        <v>372.09</v>
      </c>
      <c r="F14" s="60">
        <v>372.09</v>
      </c>
      <c r="G14" s="60">
        <v>372.09</v>
      </c>
      <c r="H14" s="60">
        <v>0</v>
      </c>
      <c r="I14" s="60">
        <v>0</v>
      </c>
      <c r="J14" s="4"/>
      <c r="K14" s="15"/>
    </row>
    <row r="15" spans="1:11" ht="12.75">
      <c r="A15" s="113" t="s">
        <v>37</v>
      </c>
      <c r="B15" s="118"/>
      <c r="C15" s="118"/>
      <c r="D15" s="60">
        <v>30</v>
      </c>
      <c r="E15" s="60">
        <v>30</v>
      </c>
      <c r="F15" s="60">
        <v>30</v>
      </c>
      <c r="G15" s="60">
        <v>30</v>
      </c>
      <c r="H15" s="60">
        <v>0</v>
      </c>
      <c r="I15" s="60">
        <v>0</v>
      </c>
      <c r="J15" s="4"/>
      <c r="K15" s="15"/>
    </row>
    <row r="16" spans="1:11" ht="12.75">
      <c r="A16" s="113" t="s">
        <v>38</v>
      </c>
      <c r="B16" s="118"/>
      <c r="C16" s="118"/>
      <c r="D16" s="60">
        <v>124.449</v>
      </c>
      <c r="E16" s="60">
        <v>186.6735</v>
      </c>
      <c r="F16" s="60">
        <v>248.898</v>
      </c>
      <c r="G16" s="60">
        <v>311.1225</v>
      </c>
      <c r="H16" s="60">
        <v>0</v>
      </c>
      <c r="I16" s="60">
        <v>0</v>
      </c>
      <c r="J16" s="4"/>
      <c r="K16" s="15"/>
    </row>
    <row r="17" spans="1:11" ht="12.75">
      <c r="A17" s="113" t="s">
        <v>39</v>
      </c>
      <c r="B17" s="118"/>
      <c r="C17" s="118"/>
      <c r="D17" s="60">
        <v>165.12002842891462</v>
      </c>
      <c r="E17" s="60">
        <v>178.72175724955605</v>
      </c>
      <c r="F17" s="60">
        <v>214.96428310352033</v>
      </c>
      <c r="G17" s="60">
        <v>248.23541284341377</v>
      </c>
      <c r="H17" s="60">
        <v>0</v>
      </c>
      <c r="I17" s="60">
        <v>0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223.37000000000003</v>
      </c>
      <c r="E19" s="60">
        <v>335.055</v>
      </c>
      <c r="F19" s="60">
        <v>446.74000000000007</v>
      </c>
      <c r="G19" s="60">
        <v>558.4250000000001</v>
      </c>
      <c r="H19" s="60">
        <v>0</v>
      </c>
      <c r="I19" s="60">
        <v>0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50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183.8886716603346</v>
      </c>
      <c r="E24" s="60">
        <v>199.03646365692225</v>
      </c>
      <c r="F24" s="60">
        <v>239.39855661628712</v>
      </c>
      <c r="G24" s="60">
        <v>276.4515047699485</v>
      </c>
      <c r="H24" s="60">
        <v>0</v>
      </c>
      <c r="I24" s="60">
        <v>0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>SUM(D9:D24)</f>
        <v>3861.662104867027</v>
      </c>
      <c r="E25" s="61">
        <f>SUM(E9:E24)</f>
        <v>4179.765736795367</v>
      </c>
      <c r="F25" s="61">
        <f>SUM(F9:F24)</f>
        <v>5027.36968894203</v>
      </c>
      <c r="G25" s="61">
        <f>SUM(G9:G24)</f>
        <v>5805.481600168918</v>
      </c>
      <c r="H25" s="61">
        <v>0</v>
      </c>
      <c r="I25" s="61">
        <v>0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1981.8726855310442</v>
      </c>
      <c r="E27" s="61">
        <v>1981.8726855310442</v>
      </c>
      <c r="F27" s="61">
        <v>1981.8726855310442</v>
      </c>
      <c r="G27" s="61">
        <v>1981.8726855310442</v>
      </c>
      <c r="H27" s="61">
        <v>0</v>
      </c>
      <c r="I27" s="61">
        <v>0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>D25+D27</f>
        <v>5843.534790398071</v>
      </c>
      <c r="E29" s="61">
        <f>E25+E27</f>
        <v>6161.638422326411</v>
      </c>
      <c r="F29" s="61">
        <f>F25+F27</f>
        <v>7009.242374473074</v>
      </c>
      <c r="G29" s="61">
        <f>G25+G27</f>
        <v>7787.354285699962</v>
      </c>
      <c r="H29" s="61">
        <v>0</v>
      </c>
      <c r="I29" s="61">
        <v>0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>D29/D5</f>
        <v>5843.534790398071</v>
      </c>
      <c r="E31" s="61">
        <f>E29/E5</f>
        <v>4107.758948217607</v>
      </c>
      <c r="F31" s="61">
        <f>F29/F5</f>
        <v>3504.621187236537</v>
      </c>
      <c r="G31" s="61">
        <f>G29/G5</f>
        <v>3114.941714279985</v>
      </c>
      <c r="H31" s="61">
        <v>0</v>
      </c>
      <c r="I31" s="61">
        <v>0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Sensatiwiteitsanali'!D5</f>
        <v>218</v>
      </c>
      <c r="E33" s="61">
        <f>$D$33</f>
        <v>218</v>
      </c>
      <c r="F33" s="61">
        <f>$D$33</f>
        <v>218</v>
      </c>
      <c r="G33" s="61">
        <f>$D$33</f>
        <v>218</v>
      </c>
      <c r="H33" s="61">
        <v>0</v>
      </c>
      <c r="I33" s="61">
        <v>0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>D31+D33</f>
        <v>6061.534790398071</v>
      </c>
      <c r="E35" s="63">
        <f>E31+E33</f>
        <v>4325.758948217607</v>
      </c>
      <c r="F35" s="63">
        <f>F31+F33</f>
        <v>3722.621187236537</v>
      </c>
      <c r="G35" s="63">
        <f>G31+G33</f>
        <v>3332.941714279985</v>
      </c>
      <c r="H35" s="63">
        <v>0</v>
      </c>
      <c r="I35" s="63">
        <v>0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Sensatiwiteitsanali'!B5</f>
        <v>6000</v>
      </c>
      <c r="E36" s="63">
        <f>$D$36</f>
        <v>6000</v>
      </c>
      <c r="F36" s="63">
        <f>$D$36</f>
        <v>6000</v>
      </c>
      <c r="G36" s="63">
        <f>$D$36</f>
        <v>6000</v>
      </c>
      <c r="H36" s="63">
        <v>0</v>
      </c>
      <c r="I36" s="63">
        <v>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9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6182</v>
      </c>
      <c r="D44" s="47">
        <v>6282</v>
      </c>
      <c r="E44" s="48">
        <v>6382</v>
      </c>
      <c r="F44" s="47">
        <v>6482</v>
      </c>
      <c r="G44" s="49">
        <v>6582</v>
      </c>
      <c r="H44" s="45"/>
      <c r="I44" s="15"/>
      <c r="J44" s="4"/>
    </row>
    <row r="45" spans="1:10" ht="12.75">
      <c r="A45" s="5"/>
      <c r="B45" s="71">
        <v>1</v>
      </c>
      <c r="C45" s="72">
        <v>-538.465209601929</v>
      </c>
      <c r="D45" s="73">
        <v>-538.465209601929</v>
      </c>
      <c r="E45" s="73">
        <v>-538.465209601929</v>
      </c>
      <c r="F45" s="73">
        <v>-538.465209601929</v>
      </c>
      <c r="G45" s="74">
        <v>-538.465209601929</v>
      </c>
      <c r="H45" s="45"/>
      <c r="I45" s="15"/>
      <c r="J45" s="4"/>
    </row>
    <row r="46" spans="1:10" ht="12.75">
      <c r="A46" s="5"/>
      <c r="B46" s="7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71">
        <v>1.5</v>
      </c>
      <c r="C47" s="75">
        <v>-3411.3615776735887</v>
      </c>
      <c r="D47" s="68">
        <v>-3411.3615776735887</v>
      </c>
      <c r="E47" s="68">
        <v>-3411.3615776735887</v>
      </c>
      <c r="F47" s="68">
        <v>-3411.3615776735887</v>
      </c>
      <c r="G47" s="69">
        <v>-3411.3615776735887</v>
      </c>
      <c r="H47" s="45"/>
      <c r="I47" s="15"/>
      <c r="J47" s="4"/>
    </row>
    <row r="48" spans="1:10" ht="13.5" thickBot="1">
      <c r="A48" s="52"/>
      <c r="B48" s="7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76">
        <v>2</v>
      </c>
      <c r="C49" s="75">
        <v>-5754.757625526926</v>
      </c>
      <c r="D49" s="68">
        <v>-5754.757625526926</v>
      </c>
      <c r="E49" s="77">
        <v>-5754.757625526926</v>
      </c>
      <c r="F49" s="68">
        <v>-5754.757625526926</v>
      </c>
      <c r="G49" s="69">
        <v>-5754.757625526926</v>
      </c>
      <c r="H49" s="45"/>
      <c r="I49" s="15"/>
      <c r="J49" s="4"/>
    </row>
    <row r="50" spans="1:10" ht="12.75">
      <c r="A50" s="5"/>
      <c r="B50" s="7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71">
        <v>2.5</v>
      </c>
      <c r="C51" s="75">
        <v>-8167.645714300038</v>
      </c>
      <c r="D51" s="68">
        <v>-8167.645714300038</v>
      </c>
      <c r="E51" s="68">
        <v>-8167.645714300038</v>
      </c>
      <c r="F51" s="68">
        <v>-8167.645714300038</v>
      </c>
      <c r="G51" s="69">
        <v>-8167.645714300038</v>
      </c>
      <c r="H51" s="45"/>
      <c r="I51" s="15"/>
      <c r="J51" s="4"/>
    </row>
    <row r="52" spans="1:10" ht="12.75">
      <c r="A52" s="5"/>
      <c r="B52" s="7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71">
        <v>0</v>
      </c>
      <c r="C53" s="75">
        <v>0</v>
      </c>
      <c r="D53" s="68">
        <v>0</v>
      </c>
      <c r="E53" s="68">
        <v>0</v>
      </c>
      <c r="F53" s="68">
        <v>0</v>
      </c>
      <c r="G53" s="69">
        <v>0</v>
      </c>
      <c r="H53" s="45"/>
      <c r="I53" s="15"/>
      <c r="J53" s="4"/>
    </row>
    <row r="54" spans="1:10" ht="12.75">
      <c r="A54" s="5"/>
      <c r="B54" s="7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78">
        <v>0</v>
      </c>
      <c r="C55" s="79">
        <v>0</v>
      </c>
      <c r="D55" s="80">
        <v>0</v>
      </c>
      <c r="E55" s="80">
        <v>0</v>
      </c>
      <c r="F55" s="80">
        <v>0</v>
      </c>
      <c r="G55" s="81">
        <v>0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</sheetData>
  <sheetProtection/>
  <mergeCells count="10">
    <mergeCell ref="K7:M7"/>
    <mergeCell ref="A1:D1"/>
    <mergeCell ref="E1:G1"/>
    <mergeCell ref="A3:C3"/>
    <mergeCell ref="A8:C8"/>
    <mergeCell ref="A35:C35"/>
    <mergeCell ref="A31:C31"/>
    <mergeCell ref="A29:C29"/>
    <mergeCell ref="A27:C27"/>
    <mergeCell ref="A25:C25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23</v>
      </c>
      <c r="B1" s="262"/>
      <c r="C1" s="262"/>
      <c r="D1" s="262"/>
      <c r="E1" s="263" t="s">
        <v>56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s="201" customFormat="1" ht="39.75" customHeight="1" thickBot="1">
      <c r="A3" s="218" t="s">
        <v>91</v>
      </c>
      <c r="B3" s="219"/>
      <c r="C3" s="219"/>
      <c r="D3" s="220" t="s">
        <v>92</v>
      </c>
      <c r="E3" s="216" t="s">
        <v>93</v>
      </c>
      <c r="F3" s="219"/>
      <c r="G3" s="219"/>
      <c r="H3" s="219"/>
      <c r="I3" s="219"/>
      <c r="J3" s="200"/>
      <c r="K3" s="200"/>
    </row>
    <row r="4" spans="1:11" s="201" customFormat="1" ht="12.75">
      <c r="A4" s="224" t="s">
        <v>94</v>
      </c>
      <c r="B4" s="225"/>
      <c r="C4" s="225"/>
      <c r="D4" s="226">
        <f>'Pryse + Sensatiwiteitsanali'!B8-'Pryse + Sensatiwiteitsanali'!D8</f>
        <v>11937</v>
      </c>
      <c r="E4" s="227">
        <v>0.6</v>
      </c>
      <c r="F4" s="228"/>
      <c r="G4" s="229"/>
      <c r="H4" s="229"/>
      <c r="I4" s="230"/>
      <c r="J4" s="200"/>
      <c r="K4" s="200"/>
    </row>
    <row r="5" spans="1:11" s="201" customFormat="1" ht="12.75">
      <c r="A5" s="205" t="s">
        <v>95</v>
      </c>
      <c r="B5" s="202"/>
      <c r="C5" s="202"/>
      <c r="D5" s="214">
        <f>'Pryse + Sensatiwiteitsanali'!B9</f>
        <v>8250</v>
      </c>
      <c r="E5" s="213">
        <v>0.15</v>
      </c>
      <c r="F5" s="215"/>
      <c r="G5" s="203"/>
      <c r="H5" s="203"/>
      <c r="I5" s="204"/>
      <c r="J5" s="200"/>
      <c r="K5" s="200"/>
    </row>
    <row r="6" spans="1:11" s="201" customFormat="1" ht="12.75">
      <c r="A6" s="205" t="s">
        <v>96</v>
      </c>
      <c r="B6" s="202"/>
      <c r="C6" s="202"/>
      <c r="D6" s="214">
        <f>'Pryse + Sensatiwiteitsanali'!B10</f>
        <v>4000</v>
      </c>
      <c r="E6" s="213">
        <v>0.2</v>
      </c>
      <c r="F6" s="215"/>
      <c r="G6" s="203"/>
      <c r="H6" s="203"/>
      <c r="I6" s="204"/>
      <c r="J6" s="200"/>
      <c r="K6" s="200"/>
    </row>
    <row r="7" spans="1:11" s="201" customFormat="1" ht="12.75">
      <c r="A7" s="205" t="s">
        <v>97</v>
      </c>
      <c r="B7" s="202"/>
      <c r="C7" s="202"/>
      <c r="D7" s="214">
        <f>'Pryse + Sensatiwiteitsanali'!B11</f>
        <v>1500</v>
      </c>
      <c r="E7" s="213">
        <v>0.05</v>
      </c>
      <c r="F7" s="215"/>
      <c r="G7" s="203"/>
      <c r="H7" s="203"/>
      <c r="I7" s="204"/>
      <c r="J7" s="200"/>
      <c r="K7" s="200"/>
    </row>
    <row r="8" spans="1:11" s="201" customFormat="1" ht="13.5" thickBot="1">
      <c r="A8" s="231" t="s">
        <v>98</v>
      </c>
      <c r="B8" s="232"/>
      <c r="C8" s="232"/>
      <c r="D8" s="233">
        <v>1200</v>
      </c>
      <c r="E8" s="234"/>
      <c r="F8" s="235"/>
      <c r="G8" s="236"/>
      <c r="H8" s="236"/>
      <c r="I8" s="237"/>
      <c r="J8" s="200"/>
      <c r="K8" s="200"/>
    </row>
    <row r="9" spans="1:11" s="201" customFormat="1" ht="15" customHeight="1" thickBot="1">
      <c r="A9" s="283" t="s">
        <v>54</v>
      </c>
      <c r="B9" s="284"/>
      <c r="C9" s="284"/>
      <c r="D9" s="221">
        <f>(D4*E4)+(D5*E5)+(D6*E6)+(D7*E7)</f>
        <v>9274.7</v>
      </c>
      <c r="E9" s="217" t="s">
        <v>3</v>
      </c>
      <c r="F9" s="217"/>
      <c r="G9" s="222"/>
      <c r="H9" s="222"/>
      <c r="I9" s="223"/>
      <c r="K9" s="200"/>
    </row>
    <row r="10" spans="1:11" s="201" customFormat="1" ht="13.5" thickBot="1">
      <c r="A10" s="105"/>
      <c r="B10" s="9"/>
      <c r="C10" s="9"/>
      <c r="D10" s="206"/>
      <c r="E10" s="207"/>
      <c r="F10" s="208"/>
      <c r="G10" s="209"/>
      <c r="H10" s="210"/>
      <c r="I10" s="210"/>
      <c r="J10" s="200"/>
      <c r="K10" s="200"/>
    </row>
    <row r="11" spans="1:11" s="201" customFormat="1" ht="13.5" thickBot="1">
      <c r="A11" s="111" t="s">
        <v>28</v>
      </c>
      <c r="B11" s="9"/>
      <c r="C11" s="9"/>
      <c r="D11" s="211">
        <v>1.8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00"/>
      <c r="K11" s="200"/>
    </row>
    <row r="12" spans="1:11" s="201" customFormat="1" ht="13.5" thickBot="1">
      <c r="A12" s="112" t="s">
        <v>29</v>
      </c>
      <c r="B12" s="107"/>
      <c r="C12" s="110"/>
      <c r="D12" s="212">
        <f>(D9*D11)+(D8*D11)</f>
        <v>18854.460000000003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00"/>
      <c r="K12" s="200"/>
    </row>
    <row r="13" spans="1:11" ht="13.5" thickBot="1">
      <c r="A13" s="108"/>
      <c r="B13" s="109"/>
      <c r="C13" s="109"/>
      <c r="D13" s="23"/>
      <c r="E13" s="23"/>
      <c r="F13" s="23"/>
      <c r="G13" s="23"/>
      <c r="H13" s="23"/>
      <c r="I13" s="23"/>
      <c r="J13" s="4"/>
      <c r="K13" s="15"/>
    </row>
    <row r="14" spans="1:11" ht="13.5" thickBot="1">
      <c r="A14" s="266" t="s">
        <v>30</v>
      </c>
      <c r="B14" s="267"/>
      <c r="C14" s="268"/>
      <c r="D14" s="24"/>
      <c r="E14" s="24"/>
      <c r="F14" s="24"/>
      <c r="G14" s="24"/>
      <c r="H14" s="24"/>
      <c r="I14" s="24"/>
      <c r="J14" s="4"/>
      <c r="K14" s="15"/>
    </row>
    <row r="15" spans="1:11" ht="12.75">
      <c r="A15" s="116" t="s">
        <v>31</v>
      </c>
      <c r="B15" s="117"/>
      <c r="C15" s="117"/>
      <c r="D15" s="59">
        <v>1125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4"/>
      <c r="K15" s="15"/>
    </row>
    <row r="16" spans="1:11" ht="12.75">
      <c r="A16" s="113" t="s">
        <v>32</v>
      </c>
      <c r="B16" s="118"/>
      <c r="C16" s="118"/>
      <c r="D16" s="60">
        <v>846.8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4"/>
      <c r="K16" s="15"/>
    </row>
    <row r="17" spans="1:11" ht="12.75">
      <c r="A17" s="113" t="s">
        <v>33</v>
      </c>
      <c r="B17" s="118"/>
      <c r="C17" s="118"/>
      <c r="D17" s="60">
        <v>319.44000000000005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4"/>
      <c r="K17" s="15"/>
    </row>
    <row r="18" spans="1:11" ht="12.75">
      <c r="A18" s="113" t="s">
        <v>34</v>
      </c>
      <c r="B18" s="118"/>
      <c r="C18" s="118"/>
      <c r="D18" s="60">
        <v>1101.79561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35</v>
      </c>
      <c r="B19" s="118"/>
      <c r="C19" s="118"/>
      <c r="D19" s="60">
        <v>818.7157699999999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4"/>
      <c r="K19" s="15"/>
    </row>
    <row r="20" spans="1:11" ht="12.75">
      <c r="A20" s="113" t="s">
        <v>36</v>
      </c>
      <c r="B20" s="118"/>
      <c r="C20" s="118"/>
      <c r="D20" s="60">
        <v>403.55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37</v>
      </c>
      <c r="B21" s="118"/>
      <c r="C21" s="118"/>
      <c r="D21" s="60">
        <v>597.77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38</v>
      </c>
      <c r="B22" s="118"/>
      <c r="C22" s="118"/>
      <c r="D22" s="60">
        <v>475.60012500000005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39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2.75">
      <c r="A24" s="113" t="s">
        <v>40</v>
      </c>
      <c r="B24" s="118"/>
      <c r="C24" s="118"/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4"/>
      <c r="K24" s="15"/>
    </row>
    <row r="25" spans="1:11" ht="12.75">
      <c r="A25" s="113" t="s">
        <v>41</v>
      </c>
      <c r="B25" s="118"/>
      <c r="C25" s="118"/>
      <c r="D25" s="60">
        <v>811.901825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4"/>
      <c r="K25" s="15"/>
    </row>
    <row r="26" spans="1:11" ht="12.75">
      <c r="A26" s="113" t="s">
        <v>42</v>
      </c>
      <c r="B26" s="118"/>
      <c r="C26" s="118"/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4"/>
      <c r="K26" s="15"/>
    </row>
    <row r="27" spans="1:11" ht="12.75">
      <c r="A27" s="113" t="s">
        <v>43</v>
      </c>
      <c r="B27" s="118"/>
      <c r="C27" s="118"/>
      <c r="D27" s="60">
        <v>800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4"/>
      <c r="K27" s="15"/>
    </row>
    <row r="28" spans="1:11" ht="12.75">
      <c r="A28" s="113" t="s">
        <v>44</v>
      </c>
      <c r="B28" s="118"/>
      <c r="C28" s="118"/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4"/>
      <c r="K28" s="15"/>
    </row>
    <row r="29" spans="1:11" ht="12.75">
      <c r="A29" s="113" t="s">
        <v>45</v>
      </c>
      <c r="B29" s="118"/>
      <c r="C29" s="118"/>
      <c r="D29" s="60">
        <v>300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4"/>
      <c r="K29" s="15"/>
    </row>
    <row r="30" spans="1:11" ht="13.5" thickBot="1">
      <c r="A30" s="113" t="s">
        <v>46</v>
      </c>
      <c r="B30" s="118"/>
      <c r="C30" s="118"/>
      <c r="D30" s="60">
        <v>383.2800998249999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4"/>
      <c r="K30" s="15"/>
    </row>
    <row r="31" spans="1:11" ht="27.75" customHeight="1" thickBot="1">
      <c r="A31" s="271" t="s">
        <v>47</v>
      </c>
      <c r="B31" s="272"/>
      <c r="C31" s="273"/>
      <c r="D31" s="61">
        <f>SUM(D15:D30)</f>
        <v>7983.853429824999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4"/>
      <c r="K31" s="15"/>
    </row>
    <row r="32" spans="1:11" ht="13.5" thickBot="1">
      <c r="A32" s="119"/>
      <c r="B32" s="120"/>
      <c r="C32" s="120"/>
      <c r="D32" s="62"/>
      <c r="E32" s="62"/>
      <c r="F32" s="62"/>
      <c r="G32" s="62"/>
      <c r="H32" s="62"/>
      <c r="I32" s="62"/>
      <c r="J32" s="4"/>
      <c r="K32" s="15"/>
    </row>
    <row r="33" spans="1:11" ht="13.5" thickBot="1">
      <c r="A33" s="274" t="s">
        <v>48</v>
      </c>
      <c r="B33" s="275"/>
      <c r="C33" s="276"/>
      <c r="D33" s="61">
        <v>2675.449499984425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25"/>
      <c r="K33" s="15"/>
    </row>
    <row r="34" spans="1:11" ht="13.5" thickBot="1">
      <c r="A34" s="119"/>
      <c r="B34" s="120"/>
      <c r="C34" s="120"/>
      <c r="D34" s="62"/>
      <c r="E34" s="62"/>
      <c r="F34" s="62"/>
      <c r="G34" s="62"/>
      <c r="H34" s="62"/>
      <c r="I34" s="62"/>
      <c r="J34" s="4"/>
      <c r="K34" s="15"/>
    </row>
    <row r="35" spans="1:11" ht="25.5" customHeight="1" thickBot="1">
      <c r="A35" s="271" t="s">
        <v>49</v>
      </c>
      <c r="B35" s="272"/>
      <c r="C35" s="273"/>
      <c r="D35" s="61">
        <f>D31+D33</f>
        <v>10659.302929809424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4"/>
      <c r="K35" s="4"/>
    </row>
    <row r="36" spans="1:11" ht="13.5" thickBot="1">
      <c r="A36" s="114"/>
      <c r="B36" s="115"/>
      <c r="C36" s="115"/>
      <c r="D36" s="64"/>
      <c r="E36" s="64"/>
      <c r="F36" s="64"/>
      <c r="G36" s="64"/>
      <c r="H36" s="64"/>
      <c r="I36" s="64"/>
      <c r="J36" s="4"/>
      <c r="K36" s="4"/>
    </row>
    <row r="37" spans="1:11" ht="25.5" customHeight="1" thickBot="1">
      <c r="A37" s="271" t="s">
        <v>50</v>
      </c>
      <c r="B37" s="281"/>
      <c r="C37" s="282"/>
      <c r="D37" s="61">
        <f>D35/D11</f>
        <v>5921.8349610052355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4"/>
      <c r="K37" s="4"/>
    </row>
    <row r="38" spans="1:11" ht="13.5" thickBot="1">
      <c r="A38" s="108"/>
      <c r="B38" s="109"/>
      <c r="C38" s="109"/>
      <c r="D38" s="64"/>
      <c r="E38" s="64"/>
      <c r="F38" s="64"/>
      <c r="G38" s="64"/>
      <c r="H38" s="64"/>
      <c r="I38" s="64"/>
      <c r="J38" s="4"/>
      <c r="K38" s="15"/>
    </row>
    <row r="39" spans="1:11" ht="13.5" thickBot="1">
      <c r="A39" s="106" t="s">
        <v>51</v>
      </c>
      <c r="B39" s="107"/>
      <c r="C39" s="107"/>
      <c r="D39" s="61">
        <f>'Pryse + Sensatiwiteitsanali'!D8</f>
        <v>63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4"/>
      <c r="K39" s="15"/>
    </row>
    <row r="40" spans="1:11" ht="13.5" thickBot="1">
      <c r="A40" s="108"/>
      <c r="B40" s="109"/>
      <c r="C40" s="109"/>
      <c r="D40" s="64"/>
      <c r="E40" s="64"/>
      <c r="F40" s="64"/>
      <c r="G40" s="64"/>
      <c r="H40" s="64"/>
      <c r="I40" s="64"/>
      <c r="J40" s="4"/>
      <c r="K40" s="15"/>
    </row>
    <row r="41" spans="1:11" ht="13.5" thickBot="1">
      <c r="A41" s="264" t="s">
        <v>52</v>
      </c>
      <c r="B41" s="265"/>
      <c r="C41" s="280"/>
      <c r="D41" s="63">
        <f>D37+D39</f>
        <v>5984.8349610052355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4"/>
      <c r="K41" s="15"/>
    </row>
    <row r="42" spans="1:11" ht="13.5" thickBot="1">
      <c r="A42" s="103" t="s">
        <v>53</v>
      </c>
      <c r="B42" s="104"/>
      <c r="C42" s="7"/>
      <c r="D42" s="63">
        <f>'Pryse + Sensatiwiteitsanali'!B8</f>
        <v>12000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15"/>
      <c r="K42" s="4"/>
    </row>
    <row r="43" spans="1:10" ht="13.5" thickBot="1">
      <c r="A43" s="103" t="s">
        <v>54</v>
      </c>
      <c r="B43" s="104"/>
      <c r="C43" s="7"/>
      <c r="D43" s="63">
        <f>D9</f>
        <v>9274.7</v>
      </c>
      <c r="E43" s="63"/>
      <c r="F43" s="63"/>
      <c r="G43" s="63"/>
      <c r="H43" s="63"/>
      <c r="I43" s="63"/>
      <c r="J43" s="4"/>
    </row>
    <row r="44" spans="1:10" ht="13.5" thickBot="1">
      <c r="A44" s="4"/>
      <c r="B44" s="26"/>
      <c r="C44" s="4"/>
      <c r="D44" s="4"/>
      <c r="E44" s="4"/>
      <c r="F44" s="4"/>
      <c r="G44" s="4"/>
      <c r="H44" s="4"/>
      <c r="I44" s="15"/>
      <c r="J44" s="4"/>
    </row>
    <row r="45" spans="1:10" ht="12.75">
      <c r="A45" s="1" t="s">
        <v>8</v>
      </c>
      <c r="B45" s="27"/>
      <c r="C45" s="28"/>
      <c r="D45" s="28"/>
      <c r="E45" s="28"/>
      <c r="F45" s="28"/>
      <c r="G45" s="28"/>
      <c r="H45" s="29"/>
      <c r="I45" s="15"/>
      <c r="J45" s="4"/>
    </row>
    <row r="46" spans="1:10" ht="12.75">
      <c r="A46" s="30" t="s">
        <v>1</v>
      </c>
      <c r="B46" s="31"/>
      <c r="C46" s="32"/>
      <c r="D46" s="33"/>
      <c r="E46" s="33"/>
      <c r="F46" s="33"/>
      <c r="G46" s="33"/>
      <c r="H46" s="34"/>
      <c r="I46" s="15"/>
      <c r="J46" s="4"/>
    </row>
    <row r="47" spans="1:16" ht="13.5" thickBot="1">
      <c r="A47" s="35" t="s">
        <v>0</v>
      </c>
      <c r="B47" s="36"/>
      <c r="C47" s="37"/>
      <c r="D47" s="37"/>
      <c r="E47" s="37"/>
      <c r="F47" s="37"/>
      <c r="G47" s="38"/>
      <c r="H47" s="39"/>
      <c r="I47" s="15"/>
      <c r="J47" s="4"/>
      <c r="P47" s="65"/>
    </row>
    <row r="48" spans="1:10" ht="13.5" thickBot="1">
      <c r="A48" s="40"/>
      <c r="B48" s="10"/>
      <c r="C48" s="41" t="s">
        <v>2</v>
      </c>
      <c r="D48" s="42"/>
      <c r="E48" s="42"/>
      <c r="F48" s="42"/>
      <c r="G48" s="43"/>
      <c r="H48" s="44"/>
      <c r="I48" s="15"/>
      <c r="J48" s="4"/>
    </row>
    <row r="49" spans="1:10" ht="13.5" thickBot="1">
      <c r="A49" s="5"/>
      <c r="B49" s="26"/>
      <c r="C49" s="4"/>
      <c r="D49" s="4"/>
      <c r="E49" s="4"/>
      <c r="F49" s="4"/>
      <c r="G49" s="4"/>
      <c r="H49" s="45"/>
      <c r="I49" s="15"/>
      <c r="J49" s="4"/>
    </row>
    <row r="50" spans="1:10" ht="13.5" thickBot="1">
      <c r="A50" s="5"/>
      <c r="B50" s="46"/>
      <c r="C50" s="47">
        <v>13737</v>
      </c>
      <c r="D50" s="47">
        <v>13837</v>
      </c>
      <c r="E50" s="48">
        <v>13937</v>
      </c>
      <c r="F50" s="47">
        <v>14037</v>
      </c>
      <c r="G50" s="49">
        <v>14137</v>
      </c>
      <c r="H50" s="45"/>
      <c r="I50" s="15"/>
      <c r="J50" s="4"/>
    </row>
    <row r="51" spans="1:10" ht="12.75">
      <c r="A51" s="5"/>
      <c r="B51" s="50">
        <v>1.75</v>
      </c>
      <c r="C51" s="72">
        <v>13380.447070190576</v>
      </c>
      <c r="D51" s="73">
        <v>13555.447070190576</v>
      </c>
      <c r="E51" s="73">
        <v>13730.447070190576</v>
      </c>
      <c r="F51" s="73">
        <v>13905.447070190576</v>
      </c>
      <c r="G51" s="74">
        <v>14080.447070190576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1</v>
      </c>
      <c r="C53" s="75">
        <v>0</v>
      </c>
      <c r="D53" s="68">
        <v>0</v>
      </c>
      <c r="E53" s="68">
        <v>0</v>
      </c>
      <c r="F53" s="68">
        <v>0</v>
      </c>
      <c r="G53" s="69">
        <v>0</v>
      </c>
      <c r="H53" s="45"/>
      <c r="I53" s="15"/>
      <c r="J53" s="4"/>
    </row>
    <row r="54" spans="1:10" ht="13.5" thickBot="1">
      <c r="A54" s="52"/>
      <c r="B54" s="51"/>
      <c r="C54" s="75"/>
      <c r="D54" s="68"/>
      <c r="E54" s="68"/>
      <c r="F54" s="68"/>
      <c r="G54" s="69"/>
      <c r="H54" s="45"/>
      <c r="I54" s="15"/>
      <c r="J54" s="4"/>
    </row>
    <row r="55" spans="1:10" ht="13.5" thickBot="1">
      <c r="A55" s="53" t="s">
        <v>4</v>
      </c>
      <c r="B55" s="54">
        <v>1</v>
      </c>
      <c r="C55" s="75">
        <v>0</v>
      </c>
      <c r="D55" s="68">
        <v>0</v>
      </c>
      <c r="E55" s="77">
        <v>0</v>
      </c>
      <c r="F55" s="68">
        <v>0</v>
      </c>
      <c r="G55" s="69">
        <v>0</v>
      </c>
      <c r="H55" s="45"/>
      <c r="I55" s="15"/>
      <c r="J55" s="4"/>
    </row>
    <row r="56" spans="1:10" ht="12.75">
      <c r="A56" s="5"/>
      <c r="B56" s="51"/>
      <c r="C56" s="75"/>
      <c r="D56" s="68"/>
      <c r="E56" s="68"/>
      <c r="F56" s="68"/>
      <c r="G56" s="69"/>
      <c r="H56" s="45"/>
      <c r="I56" s="15"/>
      <c r="J56" s="4"/>
    </row>
    <row r="57" spans="1:10" ht="12.75">
      <c r="A57" s="5"/>
      <c r="B57" s="50">
        <v>1</v>
      </c>
      <c r="C57" s="75">
        <v>0</v>
      </c>
      <c r="D57" s="68">
        <v>0</v>
      </c>
      <c r="E57" s="68">
        <v>0</v>
      </c>
      <c r="F57" s="68">
        <v>0</v>
      </c>
      <c r="G57" s="69">
        <v>0</v>
      </c>
      <c r="H57" s="45"/>
      <c r="I57" s="15"/>
      <c r="J57" s="4"/>
    </row>
    <row r="58" spans="1:10" ht="12.75">
      <c r="A58" s="5"/>
      <c r="B58" s="51"/>
      <c r="C58" s="75"/>
      <c r="D58" s="68"/>
      <c r="E58" s="68"/>
      <c r="F58" s="68"/>
      <c r="G58" s="69"/>
      <c r="H58" s="45"/>
      <c r="I58" s="15"/>
      <c r="J58" s="4"/>
    </row>
    <row r="59" spans="1:10" ht="12.75">
      <c r="A59" s="5"/>
      <c r="B59" s="50">
        <v>1</v>
      </c>
      <c r="C59" s="75">
        <v>0</v>
      </c>
      <c r="D59" s="68">
        <v>0</v>
      </c>
      <c r="E59" s="68">
        <v>0</v>
      </c>
      <c r="F59" s="68">
        <v>0</v>
      </c>
      <c r="G59" s="69">
        <v>0</v>
      </c>
      <c r="H59" s="45"/>
      <c r="I59" s="15"/>
      <c r="J59" s="4"/>
    </row>
    <row r="60" spans="1:10" ht="12.75">
      <c r="A60" s="5"/>
      <c r="B60" s="51"/>
      <c r="C60" s="75"/>
      <c r="D60" s="68"/>
      <c r="E60" s="68"/>
      <c r="F60" s="68"/>
      <c r="G60" s="69"/>
      <c r="H60" s="45"/>
      <c r="I60" s="15"/>
      <c r="J60" s="4"/>
    </row>
    <row r="61" spans="1:9" ht="13.5" thickBot="1">
      <c r="A61" s="5"/>
      <c r="B61" s="55">
        <v>0</v>
      </c>
      <c r="C61" s="79">
        <v>0</v>
      </c>
      <c r="D61" s="80">
        <v>0</v>
      </c>
      <c r="E61" s="80">
        <v>0</v>
      </c>
      <c r="F61" s="80">
        <v>0</v>
      </c>
      <c r="G61" s="81">
        <v>0</v>
      </c>
      <c r="H61" s="45"/>
      <c r="I61" s="15"/>
    </row>
    <row r="62" spans="1:8" ht="13.5" thickBot="1">
      <c r="A62" s="56"/>
      <c r="B62" s="12"/>
      <c r="C62" s="12"/>
      <c r="D62" s="12"/>
      <c r="E62" s="12"/>
      <c r="F62" s="12"/>
      <c r="G62" s="12"/>
      <c r="H62" s="6"/>
    </row>
    <row r="63" spans="1:10" ht="15">
      <c r="A63" s="93" t="s">
        <v>14</v>
      </c>
      <c r="B63" s="94"/>
      <c r="C63" s="94"/>
      <c r="D63" s="94"/>
      <c r="E63" s="94"/>
      <c r="F63" s="94"/>
      <c r="G63" s="94"/>
      <c r="H63" s="95"/>
      <c r="I63" s="96"/>
      <c r="J63" s="96"/>
    </row>
    <row r="64" spans="1:10" ht="15">
      <c r="A64" s="97" t="s">
        <v>15</v>
      </c>
      <c r="B64" s="98"/>
      <c r="C64" s="98"/>
      <c r="D64" s="98"/>
      <c r="E64" s="98"/>
      <c r="F64" s="98"/>
      <c r="G64" s="98"/>
      <c r="H64" s="99"/>
      <c r="I64" s="96"/>
      <c r="J64" s="96"/>
    </row>
    <row r="65" spans="1:10" ht="15.75" thickBot="1">
      <c r="A65" s="100" t="s">
        <v>16</v>
      </c>
      <c r="B65" s="101"/>
      <c r="C65" s="101"/>
      <c r="D65" s="101"/>
      <c r="E65" s="101"/>
      <c r="F65" s="101"/>
      <c r="G65" s="101"/>
      <c r="H65" s="102"/>
      <c r="I65" s="96"/>
      <c r="J65" s="96"/>
    </row>
  </sheetData>
  <sheetProtection/>
  <mergeCells count="9">
    <mergeCell ref="A1:D1"/>
    <mergeCell ref="E1:G1"/>
    <mergeCell ref="A41:C41"/>
    <mergeCell ref="A14:C14"/>
    <mergeCell ref="A31:C31"/>
    <mergeCell ref="A33:C33"/>
    <mergeCell ref="A35:C35"/>
    <mergeCell ref="A37:C37"/>
    <mergeCell ref="A9:C9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3" width="12.7109375" style="2" hidden="1" customWidth="1"/>
    <col min="14" max="26" width="12.7109375" style="2" customWidth="1"/>
    <col min="27" max="16384" width="9.140625" style="2" customWidth="1"/>
  </cols>
  <sheetData>
    <row r="1" spans="1:10" s="4" customFormat="1" ht="32.25" customHeight="1" thickBot="1">
      <c r="A1" s="261" t="s">
        <v>57</v>
      </c>
      <c r="B1" s="262"/>
      <c r="C1" s="262"/>
      <c r="D1" s="262"/>
      <c r="E1" s="263" t="s">
        <v>26</v>
      </c>
      <c r="F1" s="263"/>
      <c r="G1" s="263"/>
      <c r="H1" s="3"/>
      <c r="I1" s="16"/>
      <c r="J1" s="15"/>
    </row>
    <row r="2" spans="1:10" ht="16.5" thickBot="1">
      <c r="A2" s="17"/>
      <c r="B2" s="18"/>
      <c r="C2" s="19"/>
      <c r="D2" s="19"/>
      <c r="E2" s="12"/>
      <c r="F2" s="12"/>
      <c r="G2" s="12"/>
      <c r="H2" s="12"/>
      <c r="I2" s="6"/>
      <c r="J2" s="4"/>
    </row>
    <row r="3" spans="1:11" ht="25.5" customHeight="1" thickBot="1">
      <c r="A3" s="264" t="s">
        <v>27</v>
      </c>
      <c r="B3" s="265"/>
      <c r="C3" s="265"/>
      <c r="D3" s="58"/>
      <c r="E3" s="70">
        <f>'Pryse + Sensatiwiteitsanali'!B63</f>
        <v>6137</v>
      </c>
      <c r="F3" s="58" t="s">
        <v>3</v>
      </c>
      <c r="G3" s="20"/>
      <c r="H3" s="20"/>
      <c r="I3" s="7"/>
      <c r="K3" s="4"/>
    </row>
    <row r="4" spans="1:11" ht="13.5" thickBot="1">
      <c r="A4" s="105"/>
      <c r="B4" s="9"/>
      <c r="C4" s="9"/>
      <c r="D4" s="8"/>
      <c r="E4" s="11"/>
      <c r="F4" s="21"/>
      <c r="G4" s="9"/>
      <c r="H4" s="22"/>
      <c r="I4" s="22"/>
      <c r="J4" s="4"/>
      <c r="K4" s="15"/>
    </row>
    <row r="5" spans="1:11" ht="13.5" thickBot="1">
      <c r="A5" s="111" t="s">
        <v>28</v>
      </c>
      <c r="B5" s="9"/>
      <c r="C5" s="9"/>
      <c r="D5" s="88">
        <v>1.25</v>
      </c>
      <c r="E5" s="88">
        <v>1.5</v>
      </c>
      <c r="F5" s="88">
        <v>1.75</v>
      </c>
      <c r="G5" s="88">
        <v>2</v>
      </c>
      <c r="H5" s="88">
        <v>2.25</v>
      </c>
      <c r="I5" s="88">
        <v>2.5</v>
      </c>
      <c r="J5" s="4"/>
      <c r="K5" s="15"/>
    </row>
    <row r="6" spans="1:11" ht="13.5" thickBot="1">
      <c r="A6" s="112" t="s">
        <v>29</v>
      </c>
      <c r="B6" s="107"/>
      <c r="C6" s="110"/>
      <c r="D6" s="66">
        <f aca="true" t="shared" si="0" ref="D6:I6">$E$3*D5</f>
        <v>7671.25</v>
      </c>
      <c r="E6" s="66">
        <f t="shared" si="0"/>
        <v>9205.5</v>
      </c>
      <c r="F6" s="66">
        <f t="shared" si="0"/>
        <v>10739.75</v>
      </c>
      <c r="G6" s="66">
        <f t="shared" si="0"/>
        <v>12274</v>
      </c>
      <c r="H6" s="66">
        <f t="shared" si="0"/>
        <v>13808.25</v>
      </c>
      <c r="I6" s="66">
        <f t="shared" si="0"/>
        <v>15342.5</v>
      </c>
      <c r="J6" s="4"/>
      <c r="K6" s="15"/>
    </row>
    <row r="7" spans="1:13" ht="15.75" thickBot="1">
      <c r="A7" s="108"/>
      <c r="B7" s="109"/>
      <c r="C7" s="109"/>
      <c r="D7" s="23"/>
      <c r="E7" s="23"/>
      <c r="F7" s="23"/>
      <c r="G7" s="23"/>
      <c r="H7" s="23"/>
      <c r="I7" s="23"/>
      <c r="J7" s="4"/>
      <c r="K7" s="277" t="s">
        <v>116</v>
      </c>
      <c r="L7" s="277"/>
      <c r="M7" s="277"/>
    </row>
    <row r="8" spans="1:13" ht="15.75" thickBot="1">
      <c r="A8" s="266" t="s">
        <v>30</v>
      </c>
      <c r="B8" s="267"/>
      <c r="C8" s="268"/>
      <c r="D8" s="24"/>
      <c r="E8" s="24"/>
      <c r="F8" s="24"/>
      <c r="G8" s="24"/>
      <c r="H8" s="24"/>
      <c r="I8" s="24"/>
      <c r="J8" s="4"/>
      <c r="K8" s="239" t="s">
        <v>111</v>
      </c>
      <c r="L8" s="239" t="s">
        <v>112</v>
      </c>
      <c r="M8" s="239" t="s">
        <v>113</v>
      </c>
    </row>
    <row r="9" spans="1:13" ht="15">
      <c r="A9" s="116" t="s">
        <v>31</v>
      </c>
      <c r="B9" s="117"/>
      <c r="C9" s="117"/>
      <c r="D9" s="59">
        <v>840.0825</v>
      </c>
      <c r="E9" s="59">
        <v>840.0825</v>
      </c>
      <c r="F9" s="59">
        <v>840.0825</v>
      </c>
      <c r="G9" s="59">
        <v>840.0825</v>
      </c>
      <c r="H9" s="59">
        <v>840.0825</v>
      </c>
      <c r="I9" s="59">
        <v>840.0825</v>
      </c>
      <c r="J9" s="4"/>
      <c r="K9" s="240">
        <f>D5</f>
        <v>1.25</v>
      </c>
      <c r="L9" s="240">
        <f>D25</f>
        <v>5533.117425701445</v>
      </c>
      <c r="M9" s="240">
        <f>D27</f>
        <v>2179.6158624177524</v>
      </c>
    </row>
    <row r="10" spans="1:13" ht="15">
      <c r="A10" s="113" t="s">
        <v>32</v>
      </c>
      <c r="B10" s="118"/>
      <c r="C10" s="118"/>
      <c r="D10" s="60">
        <v>748.125</v>
      </c>
      <c r="E10" s="60">
        <v>873.55</v>
      </c>
      <c r="F10" s="60">
        <v>998.9749999999999</v>
      </c>
      <c r="G10" s="60">
        <v>1124.4</v>
      </c>
      <c r="H10" s="60">
        <v>1249.8249999999998</v>
      </c>
      <c r="I10" s="60">
        <v>1375.25</v>
      </c>
      <c r="J10" s="4"/>
      <c r="K10" s="240">
        <f>E5</f>
        <v>1.5</v>
      </c>
      <c r="L10" s="240">
        <f>E25</f>
        <v>5964.639970216368</v>
      </c>
      <c r="M10" s="240">
        <f>E27</f>
        <v>2179.6158624177524</v>
      </c>
    </row>
    <row r="11" spans="1:13" ht="15">
      <c r="A11" s="113" t="s">
        <v>33</v>
      </c>
      <c r="B11" s="118"/>
      <c r="C11" s="118"/>
      <c r="D11" s="60">
        <v>354.57840000000004</v>
      </c>
      <c r="E11" s="60">
        <v>354.57840000000004</v>
      </c>
      <c r="F11" s="60">
        <v>354.57840000000004</v>
      </c>
      <c r="G11" s="60">
        <v>354.57840000000004</v>
      </c>
      <c r="H11" s="60">
        <v>354.57840000000004</v>
      </c>
      <c r="I11" s="60">
        <v>354.57840000000004</v>
      </c>
      <c r="J11" s="4"/>
      <c r="K11" s="240">
        <f>F5</f>
        <v>1.75</v>
      </c>
      <c r="L11" s="240">
        <f>F25</f>
        <v>6396.162514731289</v>
      </c>
      <c r="M11" s="240">
        <f>F27</f>
        <v>2179.6158624177524</v>
      </c>
    </row>
    <row r="12" spans="1:13" ht="15">
      <c r="A12" s="113" t="s">
        <v>34</v>
      </c>
      <c r="B12" s="118"/>
      <c r="C12" s="118"/>
      <c r="D12" s="60">
        <v>861.372258</v>
      </c>
      <c r="E12" s="60">
        <v>873.024883</v>
      </c>
      <c r="F12" s="60">
        <v>884.677508</v>
      </c>
      <c r="G12" s="60">
        <v>896.3301329999999</v>
      </c>
      <c r="H12" s="60">
        <v>907.982758</v>
      </c>
      <c r="I12" s="60">
        <v>919.6353829999999</v>
      </c>
      <c r="J12" s="4"/>
      <c r="K12" s="240">
        <f>G5</f>
        <v>2</v>
      </c>
      <c r="L12" s="240">
        <f>G25</f>
        <v>6827.685059246212</v>
      </c>
      <c r="M12" s="240">
        <f>G27</f>
        <v>2179.6158624177524</v>
      </c>
    </row>
    <row r="13" spans="1:13" ht="15">
      <c r="A13" s="113" t="s">
        <v>35</v>
      </c>
      <c r="B13" s="118"/>
      <c r="C13" s="118"/>
      <c r="D13" s="60">
        <v>512.55835</v>
      </c>
      <c r="E13" s="60">
        <v>514.09085</v>
      </c>
      <c r="F13" s="60">
        <v>515.62335</v>
      </c>
      <c r="G13" s="60">
        <v>517.15585</v>
      </c>
      <c r="H13" s="60">
        <v>518.68835</v>
      </c>
      <c r="I13" s="60">
        <v>520.22085</v>
      </c>
      <c r="J13" s="4"/>
      <c r="K13" s="240">
        <f>H5</f>
        <v>2.25</v>
      </c>
      <c r="L13" s="240">
        <f>H25</f>
        <v>7259.207603761134</v>
      </c>
      <c r="M13" s="240">
        <f>H27</f>
        <v>2179.6158624177524</v>
      </c>
    </row>
    <row r="14" spans="1:13" ht="15">
      <c r="A14" s="113" t="s">
        <v>36</v>
      </c>
      <c r="B14" s="118"/>
      <c r="C14" s="118"/>
      <c r="D14" s="60">
        <v>268</v>
      </c>
      <c r="E14" s="60">
        <v>268</v>
      </c>
      <c r="F14" s="60">
        <v>268</v>
      </c>
      <c r="G14" s="60">
        <v>268</v>
      </c>
      <c r="H14" s="60">
        <v>268</v>
      </c>
      <c r="I14" s="60">
        <v>268</v>
      </c>
      <c r="J14" s="4"/>
      <c r="K14" s="240">
        <f>I5</f>
        <v>2.5</v>
      </c>
      <c r="L14" s="240">
        <f>I25</f>
        <v>7690.730148276058</v>
      </c>
      <c r="M14" s="240">
        <f>I27</f>
        <v>2179.6158624177524</v>
      </c>
    </row>
    <row r="15" spans="1:13" ht="15">
      <c r="A15" s="113" t="s">
        <v>37</v>
      </c>
      <c r="B15" s="118"/>
      <c r="C15" s="118"/>
      <c r="D15" s="60">
        <v>223</v>
      </c>
      <c r="E15" s="60">
        <v>223</v>
      </c>
      <c r="F15" s="60">
        <v>223</v>
      </c>
      <c r="G15" s="60">
        <v>223</v>
      </c>
      <c r="H15" s="60">
        <v>223</v>
      </c>
      <c r="I15" s="60">
        <v>223</v>
      </c>
      <c r="J15" s="4"/>
      <c r="K15" s="240"/>
      <c r="L15" s="240"/>
      <c r="M15" s="240"/>
    </row>
    <row r="16" spans="1:11" ht="12.75">
      <c r="A16" s="113" t="s">
        <v>38</v>
      </c>
      <c r="B16" s="118"/>
      <c r="C16" s="118"/>
      <c r="D16" s="60">
        <v>164.21437500000002</v>
      </c>
      <c r="E16" s="60">
        <v>197.05724999999998</v>
      </c>
      <c r="F16" s="60">
        <v>229.90012500000003</v>
      </c>
      <c r="G16" s="60">
        <v>262.743</v>
      </c>
      <c r="H16" s="60">
        <v>295.585875</v>
      </c>
      <c r="I16" s="60">
        <v>328.42875000000004</v>
      </c>
      <c r="J16" s="4"/>
      <c r="K16" s="15"/>
    </row>
    <row r="17" spans="1:11" ht="12.75">
      <c r="A17" s="113" t="s">
        <v>39</v>
      </c>
      <c r="B17" s="118"/>
      <c r="C17" s="118"/>
      <c r="D17" s="60">
        <v>151.56749875315424</v>
      </c>
      <c r="E17" s="60">
        <v>163.3881032507051</v>
      </c>
      <c r="F17" s="60">
        <v>175.2087077482559</v>
      </c>
      <c r="G17" s="60">
        <v>187.02931224580675</v>
      </c>
      <c r="H17" s="60">
        <v>198.84991674335757</v>
      </c>
      <c r="I17" s="60">
        <v>210.67052124090844</v>
      </c>
      <c r="J17" s="4"/>
      <c r="K17" s="15"/>
    </row>
    <row r="18" spans="1:11" ht="12.75">
      <c r="A18" s="113" t="s">
        <v>40</v>
      </c>
      <c r="B18" s="118"/>
      <c r="C18" s="118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4"/>
      <c r="K18" s="15"/>
    </row>
    <row r="19" spans="1:11" ht="12.75">
      <c r="A19" s="113" t="s">
        <v>41</v>
      </c>
      <c r="B19" s="118"/>
      <c r="C19" s="118"/>
      <c r="D19" s="60">
        <v>1133.6203125000004</v>
      </c>
      <c r="E19" s="60">
        <v>1360.3443750000004</v>
      </c>
      <c r="F19" s="60">
        <v>1587.0684375000003</v>
      </c>
      <c r="G19" s="60">
        <v>1813.7925000000005</v>
      </c>
      <c r="H19" s="60">
        <v>2040.5165625000004</v>
      </c>
      <c r="I19" s="60">
        <v>2267.240625000001</v>
      </c>
      <c r="J19" s="4"/>
      <c r="K19" s="15"/>
    </row>
    <row r="20" spans="1:11" ht="12.75">
      <c r="A20" s="113" t="s">
        <v>42</v>
      </c>
      <c r="B20" s="118"/>
      <c r="C20" s="118"/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4"/>
      <c r="K20" s="15"/>
    </row>
    <row r="21" spans="1:11" ht="12.75">
      <c r="A21" s="113" t="s">
        <v>43</v>
      </c>
      <c r="B21" s="118"/>
      <c r="C21" s="118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4"/>
      <c r="K21" s="15"/>
    </row>
    <row r="22" spans="1:11" ht="12.75">
      <c r="A22" s="113" t="s">
        <v>44</v>
      </c>
      <c r="B22" s="118"/>
      <c r="C22" s="118"/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4"/>
      <c r="K22" s="15"/>
    </row>
    <row r="23" spans="1:11" ht="12.75">
      <c r="A23" s="113" t="s">
        <v>45</v>
      </c>
      <c r="B23" s="118"/>
      <c r="C23" s="118"/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4"/>
      <c r="K23" s="15"/>
    </row>
    <row r="24" spans="1:11" ht="13.5" thickBot="1">
      <c r="A24" s="113" t="s">
        <v>46</v>
      </c>
      <c r="B24" s="118"/>
      <c r="C24" s="118"/>
      <c r="D24" s="60">
        <v>275.9987314482906</v>
      </c>
      <c r="E24" s="60">
        <v>297.523608965662</v>
      </c>
      <c r="F24" s="60">
        <v>319.04848648303334</v>
      </c>
      <c r="G24" s="60">
        <v>340.5733640004049</v>
      </c>
      <c r="H24" s="60">
        <v>362.0982415177762</v>
      </c>
      <c r="I24" s="60">
        <v>383.62311903514774</v>
      </c>
      <c r="J24" s="4"/>
      <c r="K24" s="15"/>
    </row>
    <row r="25" spans="1:11" ht="27.75" customHeight="1" thickBot="1">
      <c r="A25" s="271" t="s">
        <v>47</v>
      </c>
      <c r="B25" s="272"/>
      <c r="C25" s="273"/>
      <c r="D25" s="61">
        <f aca="true" t="shared" si="1" ref="D25:I25">SUM(D9:D24)</f>
        <v>5533.117425701445</v>
      </c>
      <c r="E25" s="61">
        <f t="shared" si="1"/>
        <v>5964.639970216368</v>
      </c>
      <c r="F25" s="61">
        <f t="shared" si="1"/>
        <v>6396.162514731289</v>
      </c>
      <c r="G25" s="61">
        <f t="shared" si="1"/>
        <v>6827.685059246212</v>
      </c>
      <c r="H25" s="61">
        <f t="shared" si="1"/>
        <v>7259.207603761134</v>
      </c>
      <c r="I25" s="61">
        <f t="shared" si="1"/>
        <v>7690.730148276058</v>
      </c>
      <c r="J25" s="4"/>
      <c r="K25" s="15"/>
    </row>
    <row r="26" spans="1:11" ht="13.5" thickBot="1">
      <c r="A26" s="119"/>
      <c r="B26" s="120"/>
      <c r="C26" s="120"/>
      <c r="D26" s="62"/>
      <c r="E26" s="62"/>
      <c r="F26" s="62"/>
      <c r="G26" s="62"/>
      <c r="H26" s="62"/>
      <c r="I26" s="62"/>
      <c r="J26" s="4"/>
      <c r="K26" s="15"/>
    </row>
    <row r="27" spans="1:11" ht="13.5" thickBot="1">
      <c r="A27" s="274" t="s">
        <v>48</v>
      </c>
      <c r="B27" s="275"/>
      <c r="C27" s="276"/>
      <c r="D27" s="61">
        <v>2179.6158624177524</v>
      </c>
      <c r="E27" s="61">
        <v>2179.6158624177524</v>
      </c>
      <c r="F27" s="61">
        <v>2179.6158624177524</v>
      </c>
      <c r="G27" s="61">
        <v>2179.6158624177524</v>
      </c>
      <c r="H27" s="61">
        <v>2179.6158624177524</v>
      </c>
      <c r="I27" s="61">
        <v>2179.6158624177524</v>
      </c>
      <c r="J27" s="25"/>
      <c r="K27" s="15"/>
    </row>
    <row r="28" spans="1:11" ht="13.5" thickBot="1">
      <c r="A28" s="119"/>
      <c r="B28" s="120"/>
      <c r="C28" s="120"/>
      <c r="D28" s="62"/>
      <c r="E28" s="62"/>
      <c r="F28" s="62"/>
      <c r="G28" s="62"/>
      <c r="H28" s="62"/>
      <c r="I28" s="62"/>
      <c r="J28" s="4"/>
      <c r="K28" s="15"/>
    </row>
    <row r="29" spans="1:11" ht="25.5" customHeight="1" thickBot="1">
      <c r="A29" s="271" t="s">
        <v>49</v>
      </c>
      <c r="B29" s="272"/>
      <c r="C29" s="273"/>
      <c r="D29" s="61">
        <f aca="true" t="shared" si="2" ref="D29:I29">D25+D27</f>
        <v>7712.733288119198</v>
      </c>
      <c r="E29" s="61">
        <f t="shared" si="2"/>
        <v>8144.25583263412</v>
      </c>
      <c r="F29" s="61">
        <f t="shared" si="2"/>
        <v>8575.778377149041</v>
      </c>
      <c r="G29" s="61">
        <f t="shared" si="2"/>
        <v>9007.300921663966</v>
      </c>
      <c r="H29" s="61">
        <f t="shared" si="2"/>
        <v>9438.823466178887</v>
      </c>
      <c r="I29" s="61">
        <f t="shared" si="2"/>
        <v>9870.346010693811</v>
      </c>
      <c r="J29" s="4"/>
      <c r="K29" s="4"/>
    </row>
    <row r="30" spans="1:11" ht="13.5" thickBot="1">
      <c r="A30" s="114"/>
      <c r="B30" s="115"/>
      <c r="C30" s="115"/>
      <c r="D30" s="64"/>
      <c r="E30" s="64"/>
      <c r="F30" s="64"/>
      <c r="G30" s="64"/>
      <c r="H30" s="64"/>
      <c r="I30" s="64"/>
      <c r="J30" s="4"/>
      <c r="K30" s="4"/>
    </row>
    <row r="31" spans="1:11" ht="25.5" customHeight="1" thickBot="1">
      <c r="A31" s="271" t="s">
        <v>50</v>
      </c>
      <c r="B31" s="272"/>
      <c r="C31" s="273"/>
      <c r="D31" s="61">
        <f aca="true" t="shared" si="3" ref="D31:I31">D29/D5</f>
        <v>6170.186630495358</v>
      </c>
      <c r="E31" s="61">
        <f t="shared" si="3"/>
        <v>5429.503888422747</v>
      </c>
      <c r="F31" s="61">
        <f t="shared" si="3"/>
        <v>4900.444786942309</v>
      </c>
      <c r="G31" s="61">
        <f t="shared" si="3"/>
        <v>4503.650460831983</v>
      </c>
      <c r="H31" s="61">
        <f t="shared" si="3"/>
        <v>4195.032651635061</v>
      </c>
      <c r="I31" s="61">
        <f t="shared" si="3"/>
        <v>3948.1384042775244</v>
      </c>
      <c r="J31" s="4"/>
      <c r="K31" s="4"/>
    </row>
    <row r="32" spans="1:11" ht="13.5" thickBot="1">
      <c r="A32" s="108"/>
      <c r="B32" s="109"/>
      <c r="C32" s="109"/>
      <c r="D32" s="64"/>
      <c r="E32" s="64"/>
      <c r="F32" s="64"/>
      <c r="G32" s="64"/>
      <c r="H32" s="64"/>
      <c r="I32" s="64"/>
      <c r="J32" s="4"/>
      <c r="K32" s="15"/>
    </row>
    <row r="33" spans="1:11" ht="13.5" thickBot="1">
      <c r="A33" s="106" t="s">
        <v>51</v>
      </c>
      <c r="B33" s="107"/>
      <c r="C33" s="107"/>
      <c r="D33" s="61">
        <f>'Pryse + Sensatiwiteitsanali'!D6</f>
        <v>63</v>
      </c>
      <c r="E33" s="61">
        <f>D33</f>
        <v>63</v>
      </c>
      <c r="F33" s="61">
        <f>E33</f>
        <v>63</v>
      </c>
      <c r="G33" s="61">
        <f>F33</f>
        <v>63</v>
      </c>
      <c r="H33" s="61">
        <f>G33</f>
        <v>63</v>
      </c>
      <c r="I33" s="61">
        <f>H33</f>
        <v>63</v>
      </c>
      <c r="J33" s="4"/>
      <c r="K33" s="15"/>
    </row>
    <row r="34" spans="1:11" ht="13.5" thickBot="1">
      <c r="A34" s="108"/>
      <c r="B34" s="109"/>
      <c r="C34" s="109"/>
      <c r="D34" s="64"/>
      <c r="E34" s="64"/>
      <c r="F34" s="64"/>
      <c r="G34" s="64"/>
      <c r="H34" s="64"/>
      <c r="I34" s="64"/>
      <c r="J34" s="4"/>
      <c r="K34" s="15"/>
    </row>
    <row r="35" spans="1:11" ht="13.5" thickBot="1">
      <c r="A35" s="264" t="s">
        <v>52</v>
      </c>
      <c r="B35" s="269"/>
      <c r="C35" s="270"/>
      <c r="D35" s="63">
        <f aca="true" t="shared" si="4" ref="D35:I35">D31+D33</f>
        <v>6233.186630495358</v>
      </c>
      <c r="E35" s="63">
        <f t="shared" si="4"/>
        <v>5492.503888422747</v>
      </c>
      <c r="F35" s="63">
        <f t="shared" si="4"/>
        <v>4963.444786942309</v>
      </c>
      <c r="G35" s="63">
        <f t="shared" si="4"/>
        <v>4566.650460831983</v>
      </c>
      <c r="H35" s="63">
        <f t="shared" si="4"/>
        <v>4258.032651635061</v>
      </c>
      <c r="I35" s="63">
        <f t="shared" si="4"/>
        <v>4011.1384042775244</v>
      </c>
      <c r="J35" s="4"/>
      <c r="K35" s="15"/>
    </row>
    <row r="36" spans="1:11" ht="13.5" thickBot="1">
      <c r="A36" s="103" t="s">
        <v>53</v>
      </c>
      <c r="B36" s="104"/>
      <c r="C36" s="7"/>
      <c r="D36" s="63">
        <f>'Pryse + Sensatiwiteitsanali'!B6</f>
        <v>6200</v>
      </c>
      <c r="E36" s="63">
        <f>$D$36</f>
        <v>6200</v>
      </c>
      <c r="F36" s="63">
        <f>$D$36</f>
        <v>6200</v>
      </c>
      <c r="G36" s="63">
        <f>$D$36</f>
        <v>6200</v>
      </c>
      <c r="H36" s="63">
        <f>$D$36</f>
        <v>6200</v>
      </c>
      <c r="I36" s="63">
        <f>$D$36</f>
        <v>6200</v>
      </c>
      <c r="J36" s="15"/>
      <c r="K36" s="4"/>
    </row>
    <row r="37" spans="9:10" ht="12.75">
      <c r="I37" s="4"/>
      <c r="J37" s="4"/>
    </row>
    <row r="38" spans="1:10" ht="13.5" thickBot="1">
      <c r="A38" s="4"/>
      <c r="B38" s="26"/>
      <c r="C38" s="4"/>
      <c r="D38" s="4"/>
      <c r="E38" s="4"/>
      <c r="F38" s="4"/>
      <c r="G38" s="4"/>
      <c r="H38" s="4"/>
      <c r="I38" s="15"/>
      <c r="J38" s="4"/>
    </row>
    <row r="39" spans="1:10" ht="12.75">
      <c r="A39" s="1" t="s">
        <v>6</v>
      </c>
      <c r="B39" s="27"/>
      <c r="C39" s="28"/>
      <c r="D39" s="28"/>
      <c r="E39" s="28"/>
      <c r="F39" s="28"/>
      <c r="G39" s="28"/>
      <c r="H39" s="29"/>
      <c r="I39" s="15"/>
      <c r="J39" s="4"/>
    </row>
    <row r="40" spans="1:10" ht="12.75">
      <c r="A40" s="30" t="s">
        <v>1</v>
      </c>
      <c r="B40" s="31"/>
      <c r="C40" s="32"/>
      <c r="D40" s="33"/>
      <c r="E40" s="33"/>
      <c r="F40" s="33"/>
      <c r="G40" s="33"/>
      <c r="H40" s="34"/>
      <c r="I40" s="15"/>
      <c r="J40" s="4"/>
    </row>
    <row r="41" spans="1:16" ht="13.5" thickBot="1">
      <c r="A41" s="35" t="s">
        <v>0</v>
      </c>
      <c r="B41" s="36"/>
      <c r="C41" s="37"/>
      <c r="D41" s="37"/>
      <c r="E41" s="37"/>
      <c r="F41" s="37"/>
      <c r="G41" s="38"/>
      <c r="H41" s="39"/>
      <c r="I41" s="15"/>
      <c r="J41" s="4"/>
      <c r="P41" s="65"/>
    </row>
    <row r="42" spans="1:10" ht="13.5" thickBot="1">
      <c r="A42" s="40"/>
      <c r="B42" s="10"/>
      <c r="C42" s="41" t="s">
        <v>2</v>
      </c>
      <c r="D42" s="42"/>
      <c r="E42" s="42"/>
      <c r="F42" s="42"/>
      <c r="G42" s="43"/>
      <c r="H42" s="44"/>
      <c r="I42" s="15"/>
      <c r="J42" s="4"/>
    </row>
    <row r="43" spans="1:10" ht="13.5" thickBot="1">
      <c r="A43" s="5"/>
      <c r="B43" s="26"/>
      <c r="C43" s="4"/>
      <c r="D43" s="4"/>
      <c r="E43" s="4"/>
      <c r="F43" s="4"/>
      <c r="G43" s="4"/>
      <c r="H43" s="45"/>
      <c r="I43" s="15"/>
      <c r="J43" s="4"/>
    </row>
    <row r="44" spans="1:10" ht="13.5" thickBot="1">
      <c r="A44" s="5"/>
      <c r="B44" s="46"/>
      <c r="C44" s="47">
        <v>6537</v>
      </c>
      <c r="D44" s="47">
        <v>6637</v>
      </c>
      <c r="E44" s="48">
        <v>6737</v>
      </c>
      <c r="F44" s="47">
        <v>6837</v>
      </c>
      <c r="G44" s="49">
        <v>6937</v>
      </c>
      <c r="H44" s="45"/>
      <c r="I44" s="15"/>
      <c r="J44" s="4"/>
    </row>
    <row r="45" spans="1:10" ht="12.75">
      <c r="A45" s="5"/>
      <c r="B45" s="50">
        <v>1.25</v>
      </c>
      <c r="C45" s="72">
        <v>458.5167118808022</v>
      </c>
      <c r="D45" s="73">
        <v>583.5167118808022</v>
      </c>
      <c r="E45" s="73">
        <v>708.5167118808022</v>
      </c>
      <c r="F45" s="73">
        <v>833.5167118808022</v>
      </c>
      <c r="G45" s="74">
        <v>958.5167118808022</v>
      </c>
      <c r="H45" s="45"/>
      <c r="I45" s="15"/>
      <c r="J45" s="4"/>
    </row>
    <row r="46" spans="1:10" ht="12.75">
      <c r="A46" s="5"/>
      <c r="B46" s="51"/>
      <c r="C46" s="75"/>
      <c r="D46" s="68"/>
      <c r="E46" s="68"/>
      <c r="F46" s="68"/>
      <c r="G46" s="69"/>
      <c r="H46" s="45"/>
      <c r="I46" s="15"/>
      <c r="J46" s="4"/>
    </row>
    <row r="47" spans="1:10" ht="12.75">
      <c r="A47" s="5"/>
      <c r="B47" s="50">
        <v>1.5</v>
      </c>
      <c r="C47" s="75">
        <v>1661.2441673658795</v>
      </c>
      <c r="D47" s="68">
        <v>1811.2441673658795</v>
      </c>
      <c r="E47" s="68">
        <v>1961.2441673658795</v>
      </c>
      <c r="F47" s="68">
        <v>2111.2441673658795</v>
      </c>
      <c r="G47" s="69">
        <v>2261.2441673658795</v>
      </c>
      <c r="H47" s="45"/>
      <c r="I47" s="15"/>
      <c r="J47" s="4"/>
    </row>
    <row r="48" spans="1:10" ht="13.5" thickBot="1">
      <c r="A48" s="52"/>
      <c r="B48" s="51"/>
      <c r="C48" s="75"/>
      <c r="D48" s="68"/>
      <c r="E48" s="68"/>
      <c r="F48" s="68"/>
      <c r="G48" s="69"/>
      <c r="H48" s="45"/>
      <c r="I48" s="15"/>
      <c r="J48" s="4"/>
    </row>
    <row r="49" spans="1:10" ht="13.5" thickBot="1">
      <c r="A49" s="53" t="s">
        <v>4</v>
      </c>
      <c r="B49" s="54">
        <v>1.75</v>
      </c>
      <c r="C49" s="75">
        <v>2863.9716228509587</v>
      </c>
      <c r="D49" s="68">
        <v>3038.9716228509587</v>
      </c>
      <c r="E49" s="77">
        <v>3213.9716228509587</v>
      </c>
      <c r="F49" s="68">
        <v>3388.9716228509587</v>
      </c>
      <c r="G49" s="69">
        <v>3563.9716228509587</v>
      </c>
      <c r="H49" s="45"/>
      <c r="I49" s="15"/>
      <c r="J49" s="4"/>
    </row>
    <row r="50" spans="1:10" ht="12.75">
      <c r="A50" s="5"/>
      <c r="B50" s="51"/>
      <c r="C50" s="75"/>
      <c r="D50" s="68"/>
      <c r="E50" s="68"/>
      <c r="F50" s="68"/>
      <c r="G50" s="69"/>
      <c r="H50" s="45"/>
      <c r="I50" s="15"/>
      <c r="J50" s="4"/>
    </row>
    <row r="51" spans="1:10" ht="12.75">
      <c r="A51" s="5"/>
      <c r="B51" s="50">
        <v>2</v>
      </c>
      <c r="C51" s="75">
        <v>4066.6990783360343</v>
      </c>
      <c r="D51" s="68">
        <v>4266.699078336034</v>
      </c>
      <c r="E51" s="68">
        <v>4466.699078336034</v>
      </c>
      <c r="F51" s="68">
        <v>4666.699078336034</v>
      </c>
      <c r="G51" s="69">
        <v>4866.699078336034</v>
      </c>
      <c r="H51" s="45"/>
      <c r="I51" s="15"/>
      <c r="J51" s="4"/>
    </row>
    <row r="52" spans="1:10" ht="12.75">
      <c r="A52" s="5"/>
      <c r="B52" s="51"/>
      <c r="C52" s="75"/>
      <c r="D52" s="68"/>
      <c r="E52" s="68"/>
      <c r="F52" s="68"/>
      <c r="G52" s="69"/>
      <c r="H52" s="45"/>
      <c r="I52" s="15"/>
      <c r="J52" s="4"/>
    </row>
    <row r="53" spans="1:10" ht="12.75">
      <c r="A53" s="5"/>
      <c r="B53" s="50">
        <v>2.25</v>
      </c>
      <c r="C53" s="75">
        <v>5269.4265338211135</v>
      </c>
      <c r="D53" s="68">
        <v>5494.4265338211135</v>
      </c>
      <c r="E53" s="68">
        <v>5719.4265338211135</v>
      </c>
      <c r="F53" s="68">
        <v>5944.4265338211135</v>
      </c>
      <c r="G53" s="69">
        <v>6169.4265338211135</v>
      </c>
      <c r="H53" s="45"/>
      <c r="I53" s="15"/>
      <c r="J53" s="4"/>
    </row>
    <row r="54" spans="1:10" ht="12.75">
      <c r="A54" s="5"/>
      <c r="B54" s="51"/>
      <c r="C54" s="75"/>
      <c r="D54" s="68"/>
      <c r="E54" s="68"/>
      <c r="F54" s="68"/>
      <c r="G54" s="69"/>
      <c r="H54" s="45"/>
      <c r="I54" s="15"/>
      <c r="J54" s="4"/>
    </row>
    <row r="55" spans="1:9" ht="13.5" thickBot="1">
      <c r="A55" s="5"/>
      <c r="B55" s="55">
        <v>2.5</v>
      </c>
      <c r="C55" s="79">
        <v>6472.153989306189</v>
      </c>
      <c r="D55" s="80">
        <v>6722.153989306189</v>
      </c>
      <c r="E55" s="80">
        <v>6972.153989306189</v>
      </c>
      <c r="F55" s="80">
        <v>7222.153989306189</v>
      </c>
      <c r="G55" s="81">
        <v>7472.153989306189</v>
      </c>
      <c r="H55" s="45"/>
      <c r="I55" s="15"/>
    </row>
    <row r="56" spans="1:8" ht="13.5" thickBot="1">
      <c r="A56" s="56"/>
      <c r="B56" s="12"/>
      <c r="C56" s="12"/>
      <c r="D56" s="12"/>
      <c r="E56" s="12"/>
      <c r="F56" s="12"/>
      <c r="G56" s="12"/>
      <c r="H56" s="6"/>
    </row>
    <row r="57" spans="1:10" ht="15">
      <c r="A57" s="93" t="s">
        <v>14</v>
      </c>
      <c r="B57" s="94"/>
      <c r="C57" s="94"/>
      <c r="D57" s="94"/>
      <c r="E57" s="94"/>
      <c r="F57" s="94"/>
      <c r="G57" s="94"/>
      <c r="H57" s="95"/>
      <c r="I57" s="96"/>
      <c r="J57" s="96"/>
    </row>
    <row r="58" spans="1:10" ht="15">
      <c r="A58" s="97" t="s">
        <v>15</v>
      </c>
      <c r="B58" s="98"/>
      <c r="C58" s="98"/>
      <c r="D58" s="98"/>
      <c r="E58" s="98"/>
      <c r="F58" s="98"/>
      <c r="G58" s="98"/>
      <c r="H58" s="99"/>
      <c r="I58" s="96"/>
      <c r="J58" s="96"/>
    </row>
    <row r="59" spans="1:10" ht="15.75" thickBot="1">
      <c r="A59" s="100" t="s">
        <v>16</v>
      </c>
      <c r="B59" s="101"/>
      <c r="C59" s="101"/>
      <c r="D59" s="101"/>
      <c r="E59" s="101"/>
      <c r="F59" s="101"/>
      <c r="G59" s="101"/>
      <c r="H59" s="102"/>
      <c r="I59" s="96"/>
      <c r="J59" s="96"/>
    </row>
  </sheetData>
  <sheetProtection/>
  <mergeCells count="10">
    <mergeCell ref="K7:M7"/>
    <mergeCell ref="A1:D1"/>
    <mergeCell ref="E1:G1"/>
    <mergeCell ref="A3:C3"/>
    <mergeCell ref="A8:C8"/>
    <mergeCell ref="A35:C35"/>
    <mergeCell ref="A31:C31"/>
    <mergeCell ref="A29:C29"/>
    <mergeCell ref="A27:C27"/>
    <mergeCell ref="A25:C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2"/>
  <headerFooter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2016-07-28T18:54:31Z</cp:lastPrinted>
  <dcterms:created xsi:type="dcterms:W3CDTF">2007-01-09T12:07:13Z</dcterms:created>
  <dcterms:modified xsi:type="dcterms:W3CDTF">2016-08-01T19:01:57Z</dcterms:modified>
  <cp:category/>
  <cp:version/>
  <cp:contentType/>
  <cp:contentStatus/>
</cp:coreProperties>
</file>