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1355" windowHeight="5535" tabRatio="919" activeTab="0"/>
  </bookViews>
  <sheets>
    <sheet name="Pryse + Sensatiwiteitsanalise" sheetId="1" r:id="rId1"/>
    <sheet name="W-Mielie " sheetId="2" r:id="rId2"/>
    <sheet name="W-BT Mielies" sheetId="3" r:id="rId3"/>
    <sheet name="W-Roundup R mielies " sheetId="4" r:id="rId4"/>
    <sheet name="Stapelgeen Mielie" sheetId="5" r:id="rId5"/>
    <sheet name="Sonneblom" sheetId="6" r:id="rId6"/>
    <sheet name="Sojabone" sheetId="7" r:id="rId7"/>
    <sheet name="Bes-mielies" sheetId="8" r:id="rId8"/>
  </sheets>
  <externalReferences>
    <externalReference r:id="rId11"/>
  </externalReferences>
  <definedNames>
    <definedName name="Obrengspeil">'W-BT Mielies'!$K$9:$K$14</definedName>
    <definedName name="_xlnm.Print_Area" localSheetId="7">'Bes-mielies'!$A$1:$I$64</definedName>
    <definedName name="_xlnm.Print_Area" localSheetId="6">'Sojabone'!$A$1:$I$59</definedName>
    <definedName name="_xlnm.Print_Area" localSheetId="5">'Sonneblom'!$A$1:$I$59</definedName>
    <definedName name="_xlnm.Print_Area" localSheetId="4">'Stapelgeen Mielie'!$A$1:$I$63</definedName>
    <definedName name="_xlnm.Print_Area" localSheetId="2">'W-BT Mielies'!$A$1:$I$63</definedName>
    <definedName name="_xlnm.Print_Area" localSheetId="1">'W-Mielie '!$A$1:$I$63</definedName>
    <definedName name="_xlnm.Print_Area" localSheetId="3">'W-Roundup R mielies '!$A$1:$I$63</definedName>
    <definedName name="RRLopbrengspeil">'[1]W-RR mielies Laer opbrengs '!$M$9:$M$14</definedName>
    <definedName name="Sojaopbrengspeil">'Sojabone'!$K$9:$K$12</definedName>
    <definedName name="Sonopbrengspeil">'Sonneblom'!$K$9:$K$13</definedName>
  </definedNames>
  <calcPr fullCalcOnLoad="1"/>
</workbook>
</file>

<file path=xl/comments1.xml><?xml version="1.0" encoding="utf-8"?>
<comments xmlns="http://schemas.openxmlformats.org/spreadsheetml/2006/main">
  <authors>
    <author>Petru Fourie</author>
  </authors>
  <commentList>
    <comment ref="D3" authorId="0">
      <text>
        <r>
          <rPr>
            <b/>
            <sz val="9"/>
            <rFont val="Tahoma"/>
            <family val="2"/>
          </rPr>
          <t>Petru Fourie:</t>
        </r>
        <r>
          <rPr>
            <sz val="9"/>
            <rFont val="Tahoma"/>
            <family val="2"/>
          </rPr>
          <t xml:space="preserve">
Include location diff, marketing cost etc</t>
        </r>
      </text>
    </comment>
  </commentList>
</comments>
</file>

<file path=xl/sharedStrings.xml><?xml version="1.0" encoding="utf-8"?>
<sst xmlns="http://schemas.openxmlformats.org/spreadsheetml/2006/main" count="349" uniqueCount="93">
  <si>
    <t>OPBRENGSPEIE EN PLAASHEK PRODUSENTPRYSE</t>
  </si>
  <si>
    <t xml:space="preserve">WINS / (VERLIES) BO TOTALE KOSTE SONDER DIREKTE BEMAKINGKOSTE EN WINS R/HA BY VERSKILLENDE </t>
  </si>
  <si>
    <t>PLAASHEK PRODUSENTEPRYS R/TON VIR BESTE GRAAD</t>
  </si>
  <si>
    <t>Rand/ton</t>
  </si>
  <si>
    <t>OPBRENGS TON/HA</t>
  </si>
  <si>
    <t>Gewas</t>
  </si>
  <si>
    <t>SAFEX pryse (R/ton)</t>
  </si>
  <si>
    <t>Mielies / Maize - 2016/17</t>
  </si>
  <si>
    <t>MIELIES: SENSATIWITIETSANALISE - TOTALE KOSTES ( DIREKTE KOSTE + VASTE KOSTE)</t>
  </si>
  <si>
    <t>MIELIES: SENSATIWITIETSANALISE - DIREKTE KOSTE</t>
  </si>
  <si>
    <t>Lopendekoste / Variable cost (R/ha)</t>
  </si>
  <si>
    <t>Huidig</t>
  </si>
  <si>
    <t>Oorhoofse koste / Overhead cost (R/ha)</t>
  </si>
  <si>
    <t>SAFEX prys / price(R/ton)</t>
  </si>
  <si>
    <t>Totale Koste / Total cost (R/ha)</t>
  </si>
  <si>
    <t>Produsenteprys/ Producer price</t>
  </si>
  <si>
    <t>Opbrengs / Yield (t/ha)</t>
  </si>
  <si>
    <t>Gemid Opbrengs / Average Yield (t/ha)</t>
  </si>
  <si>
    <t>SAFEX Jul'17 WM 1 prys/price  (R/ton)</t>
  </si>
  <si>
    <t xml:space="preserve">Aftrekkings / Deductions </t>
  </si>
  <si>
    <t>Produsenteprys/ Producer price (R/ton)</t>
  </si>
  <si>
    <t>Sonneblom / Sunflower - 2016/17</t>
  </si>
  <si>
    <t>SONNEBLOM: SENSATIWITIETSANALISE - TOTALE KOSTES ( DIREKTE KOSTE + VASTE KOSTE)</t>
  </si>
  <si>
    <t>SONNEBLOM: SENSATIWITIETSANALISE - DIREKTE KOSTE</t>
  </si>
  <si>
    <t>Sojabone Soyabean - 2016/17</t>
  </si>
  <si>
    <t>SOJABONE: SENSATIWITIETSANALISE - TOTALE KOSTES ( DIREKTE KOSTE + VASTE KOSTE)</t>
  </si>
  <si>
    <t>SOJABONE: SENSATIWITIETSANALISE - DIREKTE KOSTE</t>
  </si>
  <si>
    <t>Huidige</t>
  </si>
  <si>
    <t>SAFEX Mei'17Soy prys/price  (R/ton)</t>
  </si>
  <si>
    <t>SAFEX Mei'17 Sun prys/price  (R/ton)</t>
  </si>
  <si>
    <t>GEWAS SENSITIWITEITSANALISE VIR WIT KONVENSIONELE MIELIES</t>
  </si>
  <si>
    <t>GEWAS SENSITIWITEITSANALISE VIR BESPROEIING MIELIES</t>
  </si>
  <si>
    <t>GEWAS SENSITIWITEITSANALISE VIR SOJABONE</t>
  </si>
  <si>
    <t>GEWAS SENSITIWITEITSANALISE VIR SONNEBLOM</t>
  </si>
  <si>
    <t>GEWAS SENSITIWITEITSANALISE VIR WIT STAPELGEEN MIELIES</t>
  </si>
  <si>
    <t>GEWAS SENSITIWITEITSANALISE VIR WIT ROUNDUP READY MIELIES</t>
  </si>
  <si>
    <t>GEWAS SENSITIWITEITSANALISE VIR BT WIT MIELIES</t>
  </si>
  <si>
    <t>Produsent prys raming vir droëland WIT KONVENSIONELE MIELIES vir die                      Producer price framework for dry land WHITE CONVENTIONAL MAIZE for the</t>
  </si>
  <si>
    <t>Produsent prys raming vir droëland WIT STAPELGEEN MIELIES vir die                                    Producer price framework for dry land WHITE STAPELGENE maize for the</t>
  </si>
  <si>
    <t>Produsent prys raming vir droëland SONNEBLOM vir die                                                  Producer price framework for dry land SUNFLOWER for the</t>
  </si>
  <si>
    <t>Produsent prys raming vir droëland SOJABONE vir die                                                    Producer price framework for dry land SOYBEANS for the</t>
  </si>
  <si>
    <t>Produsent prys raming vir BESPROEIING MIELIES vir die  /                                             Producer price framework for IRRIGATION MAIZE for the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</si>
  <si>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</si>
  <si>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</si>
  <si>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</si>
  <si>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</si>
  <si>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</si>
  <si>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</si>
  <si>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</si>
  <si>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</si>
  <si>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</si>
  <si>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</si>
  <si>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</si>
  <si>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</si>
  <si>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Besproeiingskoste / Irrigation cost</t>
  </si>
  <si>
    <t>Graanprysverskansing / Grain hedging</t>
  </si>
  <si>
    <t>Kontrakstroop / Contract Harvesting</t>
  </si>
  <si>
    <t>Oesversekering / Harvest insurance</t>
  </si>
  <si>
    <t>Lugspuit / Aerial spray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</si>
  <si>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</si>
  <si>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</si>
  <si>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</si>
  <si>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</si>
  <si>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</si>
  <si>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overhead cost R/ha</t>
  </si>
  <si>
    <t>Totale Koste per ha voor fisiese bemarking R/ha / Total cost per ha before marketing cost R/ha</t>
  </si>
  <si>
    <t>Totale koste per ton voor fisiese bemarking R/Ton / Total cost per ton before marketing cost R/Ton</t>
  </si>
  <si>
    <t>Totale bemarkingskoste / Total marketing cost R/ton</t>
  </si>
  <si>
    <t>Verwagte minimum Safex prys SONDER wins/ Expected minimum Safex price, WITHOUT profit</t>
  </si>
  <si>
    <t>Huidige Safex prys / Current Safex price</t>
  </si>
  <si>
    <t>PRODUKSIEJAAR   2016-17   PRODUCTION YEAR 2016-17</t>
  </si>
  <si>
    <r>
      <t>Disclaimer:</t>
    </r>
    <r>
      <rPr>
        <sz val="11"/>
        <rFont val="Calibri"/>
        <family val="2"/>
      </rPr>
      <t xml:space="preserve"> The information herein has been obtained from various sources, the accuracy and/or completeness of which Grain SA does not</t>
    </r>
  </si>
  <si>
    <t>guarantee and for which Grain SA accepts no liability. Any prices or levels contained herein are preliminary and indicative only and do not</t>
  </si>
  <si>
    <t>represent bids or offers. These indications are provided solely for your information and consideration.</t>
  </si>
  <si>
    <t xml:space="preserve">                                        Thank you to the Maize Trust for partially funding this project</t>
  </si>
  <si>
    <t>Produsent prys raming vir droëland WIT ROUND-UP READY MIELIES vir die                                   Producer price framework for dry land WHITE ROUND-UP READY MAIZE for the</t>
  </si>
  <si>
    <t>PRODUKSIEJAAR   2016-17                      PRODUCTION YEAR 2016-17</t>
  </si>
  <si>
    <t>Produsent prys raming vir droëland WIT BT MIELIES vir die                                                              Producer price framework for dry land WHITE BT MAIZE for the</t>
  </si>
  <si>
    <t>Datum opgedateer / Date updated</t>
  </si>
  <si>
    <t>OOS FS / EASTERN FS</t>
  </si>
  <si>
    <t>Total deductions (R/ton)</t>
  </si>
  <si>
    <t>SONNEBLOM / SUNFLOWER</t>
  </si>
  <si>
    <t>SOJABONE / SOYBEANS</t>
  </si>
  <si>
    <t>BT MIELIES / BT MAIZE</t>
  </si>
  <si>
    <t>Mielies / Maize- Jul 17</t>
  </si>
  <si>
    <t>Sonneblom / Sunflower- Mei 17</t>
  </si>
  <si>
    <t>Sojabone / Soybeans- Mei 17</t>
  </si>
  <si>
    <t>Opbrengspeil</t>
  </si>
  <si>
    <t>Lopende koste</t>
  </si>
  <si>
    <t>Oorhoofse koste</t>
  </si>
  <si>
    <t>BTMielies</t>
  </si>
  <si>
    <t>Sonneblom</t>
  </si>
  <si>
    <t>Sojabone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</si>
</sst>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0_)"/>
    <numFmt numFmtId="166" formatCode="0_)"/>
    <numFmt numFmtId="167" formatCode="0.000"/>
    <numFmt numFmtId="168" formatCode="mm/dd/yy"/>
    <numFmt numFmtId="169" formatCode="_(* #,##0.000000000000000_);_(* \(#,##0.000000000000000\);_(* &quot;-&quot;???????????????_);_(@_)"/>
    <numFmt numFmtId="170" formatCode="[$-436]dd\ mmmm\ yyyy;@"/>
    <numFmt numFmtId="171" formatCode="_ * #,##0.00000_ ;_ * \-#,##0.00000_ ;_ * &quot;-&quot;_ ;_ @_ "/>
    <numFmt numFmtId="172" formatCode="0.0%"/>
    <numFmt numFmtId="173" formatCode="0.0_)"/>
    <numFmt numFmtId="174" formatCode="_ * #,##0.0_ ;_ * \-#,##0.0_ ;_ * &quot;-&quot;?_ ;_ @_ "/>
    <numFmt numFmtId="175" formatCode="_ * #,##0.000_ ;_ * \-#,##0.000_ ;_ * &quot;-&quot;???_ ;_ @_ "/>
    <numFmt numFmtId="176" formatCode="0.0000_)"/>
    <numFmt numFmtId="177" formatCode="_(* #,##0.0000_);_(* \(#,##0.0000\);_(* &quot;-&quot;??_);_(@_)"/>
    <numFmt numFmtId="178" formatCode="_(* #,##0.0_);_(* \(#,##0.0\);_(* &quot;-&quot;??_);_(@_)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_ ;_ * \-#,##0_ ;_ * &quot;-&quot;??_ ;_ @_ "/>
    <numFmt numFmtId="184" formatCode="_ * #,##0.00_ ;_ * \-#,##0.0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* #,##0.00000_ ;_ * \-#,##0.00000_ ;_ * &quot;-&quot;?????_ ;_ @_ "/>
    <numFmt numFmtId="190" formatCode="_ * #,##0.0000000_ ;_ * \-#,##0.0000000_ ;_ * &quot;-&quot;??_ ;_ @_ "/>
    <numFmt numFmtId="191" formatCode="_ * #,##0.00000000_ ;_ * \-#,##0.00000000_ ;_ * &quot;-&quot;??_ ;_ @_ "/>
    <numFmt numFmtId="192" formatCode="0.000_)"/>
    <numFmt numFmtId="193" formatCode="_(* #,##0_);_(* \(#,##0\);_(* &quot;-&quot;??_);_(@_)"/>
    <numFmt numFmtId="194" formatCode="#,##0.0"/>
    <numFmt numFmtId="195" formatCode="0.0"/>
    <numFmt numFmtId="196" formatCode="_ * #,##0.00_ ;_ * \-#,##0.00_ ;_ * &quot;-&quot;?_ ;_ @_ "/>
    <numFmt numFmtId="197" formatCode="0.000000"/>
    <numFmt numFmtId="198" formatCode="#,##0.0_ ;\-#,##0.0\ "/>
    <numFmt numFmtId="199" formatCode="_(&quot;$&quot;* #,##0.00_);_(&quot;$&quot;* \(#,##0.00\);_(&quot;$&quot;* &quot;-&quot;??_);_(@_)"/>
    <numFmt numFmtId="200" formatCode="&quot;R&quot;\ #,##0"/>
    <numFmt numFmtId="201" formatCode="&quot;R&quot;\ #,##0.00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Segoe UI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17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00B05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96F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Continuous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0" fillId="35" borderId="11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centerContinuous"/>
      <protection hidden="1"/>
    </xf>
    <xf numFmtId="0" fontId="0" fillId="0" borderId="15" xfId="0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5" fillId="0" borderId="15" xfId="0" applyFont="1" applyFill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166" fontId="2" fillId="36" borderId="17" xfId="0" applyNumberFormat="1" applyFont="1" applyFill="1" applyBorder="1" applyAlignment="1" applyProtection="1">
      <alignment horizontal="right"/>
      <protection hidden="1"/>
    </xf>
    <xf numFmtId="0" fontId="0" fillId="34" borderId="17" xfId="0" applyFont="1" applyFill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Continuous"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2" fillId="35" borderId="22" xfId="0" applyFont="1" applyFill="1" applyBorder="1" applyAlignment="1" applyProtection="1">
      <alignment horizontal="centerContinuous"/>
      <protection hidden="1"/>
    </xf>
    <xf numFmtId="166" fontId="3" fillId="35" borderId="18" xfId="0" applyNumberFormat="1" applyFont="1" applyFill="1" applyBorder="1" applyAlignment="1" applyProtection="1">
      <alignment horizontal="center"/>
      <protection hidden="1"/>
    </xf>
    <xf numFmtId="166" fontId="3" fillId="37" borderId="18" xfId="0" applyNumberFormat="1" applyFont="1" applyFill="1" applyBorder="1" applyAlignment="1" applyProtection="1">
      <alignment horizontal="center"/>
      <protection hidden="1"/>
    </xf>
    <xf numFmtId="166" fontId="3" fillId="35" borderId="19" xfId="0" applyNumberFormat="1" applyFont="1" applyFill="1" applyBorder="1" applyAlignment="1" applyProtection="1">
      <alignment horizontal="center"/>
      <protection hidden="1"/>
    </xf>
    <xf numFmtId="165" fontId="3" fillId="35" borderId="23" xfId="0" applyNumberFormat="1" applyFont="1" applyFill="1" applyBorder="1" applyAlignment="1" applyProtection="1">
      <alignment horizontal="centerContinuous"/>
      <protection hidden="1"/>
    </xf>
    <xf numFmtId="0" fontId="3" fillId="35" borderId="23" xfId="0" applyFont="1" applyFill="1" applyBorder="1" applyAlignment="1" applyProtection="1">
      <alignment horizontal="centerContinuous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165" fontId="3" fillId="34" borderId="23" xfId="0" applyNumberFormat="1" applyFont="1" applyFill="1" applyBorder="1" applyAlignment="1" applyProtection="1">
      <alignment horizontal="centerContinuous"/>
      <protection hidden="1"/>
    </xf>
    <xf numFmtId="165" fontId="3" fillId="35" borderId="24" xfId="0" applyNumberFormat="1" applyFont="1" applyFill="1" applyBorder="1" applyAlignment="1" applyProtection="1">
      <alignment horizontal="centerContinuous"/>
      <protection hidden="1"/>
    </xf>
    <xf numFmtId="0" fontId="0" fillId="0" borderId="16" xfId="0" applyFont="1" applyFill="1" applyBorder="1" applyAlignment="1" applyProtection="1">
      <alignment/>
      <protection hidden="1"/>
    </xf>
    <xf numFmtId="43" fontId="0" fillId="0" borderId="0" xfId="0" applyNumberFormat="1" applyFont="1" applyFill="1" applyAlignment="1" applyProtection="1">
      <alignment/>
      <protection hidden="1"/>
    </xf>
    <xf numFmtId="0" fontId="2" fillId="34" borderId="11" xfId="0" applyFont="1" applyFill="1" applyBorder="1" applyAlignment="1" applyProtection="1">
      <alignment/>
      <protection hidden="1"/>
    </xf>
    <xf numFmtId="43" fontId="2" fillId="0" borderId="25" xfId="0" applyNumberFormat="1" applyFont="1" applyFill="1" applyBorder="1" applyAlignment="1" applyProtection="1">
      <alignment/>
      <protection hidden="1"/>
    </xf>
    <xf numFmtId="43" fontId="2" fillId="0" borderId="26" xfId="0" applyNumberFormat="1" applyFont="1" applyFill="1" applyBorder="1" applyAlignment="1" applyProtection="1">
      <alignment/>
      <protection hidden="1"/>
    </xf>
    <xf numFmtId="43" fontId="2" fillId="35" borderId="17" xfId="0" applyNumberFormat="1" applyFont="1" applyFill="1" applyBorder="1" applyAlignment="1" applyProtection="1">
      <alignment/>
      <protection hidden="1"/>
    </xf>
    <xf numFmtId="43" fontId="2" fillId="36" borderId="23" xfId="0" applyNumberFormat="1" applyFont="1" applyFill="1" applyBorder="1" applyAlignment="1" applyProtection="1">
      <alignment/>
      <protection hidden="1"/>
    </xf>
    <xf numFmtId="43" fontId="2" fillId="34" borderId="17" xfId="0" applyNumberFormat="1" applyFont="1" applyFill="1" applyBorder="1" applyAlignment="1" applyProtection="1">
      <alignment/>
      <protection hidden="1"/>
    </xf>
    <xf numFmtId="43" fontId="2" fillId="0" borderId="23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hidden="1"/>
    </xf>
    <xf numFmtId="43" fontId="2" fillId="35" borderId="17" xfId="0" applyNumberFormat="1" applyFont="1" applyFill="1" applyBorder="1" applyAlignment="1" applyProtection="1">
      <alignment horizontal="right"/>
      <protection hidden="1"/>
    </xf>
    <xf numFmtId="43" fontId="0" fillId="0" borderId="11" xfId="0" applyNumberFormat="1" applyFont="1" applyFill="1" applyBorder="1" applyAlignment="1" applyProtection="1">
      <alignment horizontal="centerContinuous"/>
      <protection hidden="1"/>
    </xf>
    <xf numFmtId="43" fontId="2" fillId="0" borderId="0" xfId="0" applyNumberFormat="1" applyFont="1" applyFill="1" applyBorder="1" applyAlignment="1" applyProtection="1">
      <alignment/>
      <protection hidden="1"/>
    </xf>
    <xf numFmtId="43" fontId="2" fillId="0" borderId="20" xfId="0" applyNumberFormat="1" applyFont="1" applyFill="1" applyBorder="1" applyAlignment="1" applyProtection="1">
      <alignment/>
      <protection hidden="1"/>
    </xf>
    <xf numFmtId="43" fontId="2" fillId="34" borderId="11" xfId="0" applyNumberFormat="1" applyFont="1" applyFill="1" applyBorder="1" applyAlignment="1" applyProtection="1">
      <alignment horizontal="left"/>
      <protection hidden="1"/>
    </xf>
    <xf numFmtId="43" fontId="3" fillId="35" borderId="23" xfId="0" applyNumberFormat="1" applyFont="1" applyFill="1" applyBorder="1" applyAlignment="1" applyProtection="1">
      <alignment horizontal="centerContinuous"/>
      <protection hidden="1"/>
    </xf>
    <xf numFmtId="43" fontId="2" fillId="0" borderId="10" xfId="0" applyNumberFormat="1" applyFont="1" applyFill="1" applyBorder="1" applyAlignment="1" applyProtection="1">
      <alignment/>
      <protection hidden="1"/>
    </xf>
    <xf numFmtId="43" fontId="2" fillId="0" borderId="18" xfId="0" applyNumberFormat="1" applyFont="1" applyFill="1" applyBorder="1" applyAlignment="1" applyProtection="1">
      <alignment/>
      <protection hidden="1"/>
    </xf>
    <xf numFmtId="43" fontId="2" fillId="0" borderId="19" xfId="0" applyNumberFormat="1" applyFont="1" applyFill="1" applyBorder="1" applyAlignment="1" applyProtection="1">
      <alignment/>
      <protection hidden="1"/>
    </xf>
    <xf numFmtId="43" fontId="2" fillId="0" borderId="12" xfId="0" applyNumberFormat="1" applyFont="1" applyFill="1" applyBorder="1" applyAlignment="1" applyProtection="1">
      <alignment/>
      <protection hidden="1"/>
    </xf>
    <xf numFmtId="43" fontId="3" fillId="34" borderId="23" xfId="0" applyNumberFormat="1" applyFont="1" applyFill="1" applyBorder="1" applyAlignment="1" applyProtection="1">
      <alignment horizontal="centerContinuous"/>
      <protection hidden="1"/>
    </xf>
    <xf numFmtId="43" fontId="2" fillId="37" borderId="0" xfId="0" applyNumberFormat="1" applyFont="1" applyFill="1" applyBorder="1" applyAlignment="1" applyProtection="1">
      <alignment/>
      <protection hidden="1"/>
    </xf>
    <xf numFmtId="43" fontId="3" fillId="35" borderId="24" xfId="0" applyNumberFormat="1" applyFont="1" applyFill="1" applyBorder="1" applyAlignment="1" applyProtection="1">
      <alignment horizontal="centerContinuous"/>
      <protection hidden="1"/>
    </xf>
    <xf numFmtId="43" fontId="2" fillId="0" borderId="16" xfId="0" applyNumberFormat="1" applyFont="1" applyFill="1" applyBorder="1" applyAlignment="1" applyProtection="1">
      <alignment/>
      <protection hidden="1"/>
    </xf>
    <xf numFmtId="43" fontId="2" fillId="0" borderId="15" xfId="0" applyNumberFormat="1" applyFont="1" applyFill="1" applyBorder="1" applyAlignment="1" applyProtection="1">
      <alignment/>
      <protection hidden="1"/>
    </xf>
    <xf numFmtId="43" fontId="2" fillId="0" borderId="13" xfId="0" applyNumberFormat="1" applyFont="1" applyFill="1" applyBorder="1" applyAlignment="1" applyProtection="1">
      <alignment/>
      <protection hidden="1"/>
    </xf>
    <xf numFmtId="43" fontId="2" fillId="36" borderId="17" xfId="0" applyNumberFormat="1" applyFont="1" applyFill="1" applyBorder="1" applyAlignment="1" applyProtection="1">
      <alignment horizontal="right"/>
      <protection hidden="1"/>
    </xf>
    <xf numFmtId="43" fontId="0" fillId="34" borderId="17" xfId="0" applyNumberFormat="1" applyFont="1" applyFill="1" applyBorder="1" applyAlignment="1" applyProtection="1">
      <alignment/>
      <protection hidden="1"/>
    </xf>
    <xf numFmtId="43" fontId="2" fillId="0" borderId="11" xfId="0" applyNumberFormat="1" applyFont="1" applyFill="1" applyBorder="1" applyAlignment="1" applyProtection="1">
      <alignment horizontal="centerContinuous"/>
      <protection hidden="1"/>
    </xf>
    <xf numFmtId="43" fontId="3" fillId="0" borderId="11" xfId="0" applyNumberFormat="1" applyFont="1" applyFill="1" applyBorder="1" applyAlignment="1" applyProtection="1">
      <alignment/>
      <protection hidden="1"/>
    </xf>
    <xf numFmtId="43" fontId="2" fillId="0" borderId="11" xfId="0" applyNumberFormat="1" applyFont="1" applyFill="1" applyBorder="1" applyAlignment="1" applyProtection="1">
      <alignment horizontal="left"/>
      <protection hidden="1"/>
    </xf>
    <xf numFmtId="43" fontId="0" fillId="0" borderId="14" xfId="0" applyNumberFormat="1" applyFont="1" applyFill="1" applyBorder="1" applyAlignment="1" applyProtection="1">
      <alignment/>
      <protection hidden="1"/>
    </xf>
    <xf numFmtId="174" fontId="2" fillId="36" borderId="17" xfId="0" applyNumberFormat="1" applyFont="1" applyFill="1" applyBorder="1" applyAlignment="1" applyProtection="1">
      <alignment/>
      <protection hidden="1"/>
    </xf>
    <xf numFmtId="174" fontId="2" fillId="36" borderId="14" xfId="0" applyNumberFormat="1" applyFont="1" applyFill="1" applyBorder="1" applyAlignment="1" applyProtection="1">
      <alignment/>
      <protection hidden="1"/>
    </xf>
    <xf numFmtId="166" fontId="2" fillId="36" borderId="14" xfId="0" applyNumberFormat="1" applyFont="1" applyFill="1" applyBorder="1" applyAlignment="1" applyProtection="1">
      <alignment horizontal="right"/>
      <protection hidden="1"/>
    </xf>
    <xf numFmtId="43" fontId="2" fillId="0" borderId="27" xfId="0" applyNumberFormat="1" applyFont="1" applyFill="1" applyBorder="1" applyAlignment="1" applyProtection="1">
      <alignment/>
      <protection hidden="1"/>
    </xf>
    <xf numFmtId="43" fontId="2" fillId="0" borderId="28" xfId="0" applyNumberFormat="1" applyFont="1" applyFill="1" applyBorder="1" applyAlignment="1" applyProtection="1">
      <alignment/>
      <protection hidden="1"/>
    </xf>
    <xf numFmtId="43" fontId="2" fillId="35" borderId="14" xfId="0" applyNumberFormat="1" applyFont="1" applyFill="1" applyBorder="1" applyAlignment="1" applyProtection="1">
      <alignment/>
      <protection hidden="1"/>
    </xf>
    <xf numFmtId="43" fontId="2" fillId="36" borderId="20" xfId="0" applyNumberFormat="1" applyFont="1" applyFill="1" applyBorder="1" applyAlignment="1" applyProtection="1">
      <alignment/>
      <protection hidden="1"/>
    </xf>
    <xf numFmtId="43" fontId="2" fillId="34" borderId="14" xfId="0" applyNumberFormat="1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174" fontId="57" fillId="0" borderId="0" xfId="0" applyNumberFormat="1" applyFont="1" applyFill="1" applyAlignment="1" applyProtection="1">
      <alignment/>
      <protection hidden="1"/>
    </xf>
    <xf numFmtId="0" fontId="58" fillId="0" borderId="0" xfId="96" applyFont="1">
      <alignment/>
      <protection/>
    </xf>
    <xf numFmtId="0" fontId="0" fillId="0" borderId="0" xfId="96">
      <alignment/>
      <protection/>
    </xf>
    <xf numFmtId="0" fontId="5" fillId="0" borderId="0" xfId="96" applyFont="1">
      <alignment/>
      <protection/>
    </xf>
    <xf numFmtId="0" fontId="0" fillId="0" borderId="0" xfId="71">
      <alignment/>
      <protection/>
    </xf>
    <xf numFmtId="0" fontId="59" fillId="16" borderId="29" xfId="71" applyFont="1" applyFill="1" applyBorder="1">
      <alignment/>
      <protection/>
    </xf>
    <xf numFmtId="0" fontId="59" fillId="16" borderId="29" xfId="71" applyFont="1" applyFill="1" applyBorder="1" applyAlignment="1">
      <alignment horizontal="center"/>
      <protection/>
    </xf>
    <xf numFmtId="0" fontId="59" fillId="0" borderId="0" xfId="71" applyFont="1" applyFill="1" applyBorder="1">
      <alignment/>
      <protection/>
    </xf>
    <xf numFmtId="200" fontId="59" fillId="0" borderId="0" xfId="71" applyNumberFormat="1" applyFont="1" applyFill="1" applyBorder="1" applyAlignment="1">
      <alignment horizontal="center"/>
      <protection/>
    </xf>
    <xf numFmtId="0" fontId="0" fillId="0" borderId="0" xfId="96" applyFill="1">
      <alignment/>
      <protection/>
    </xf>
    <xf numFmtId="0" fontId="5" fillId="0" borderId="0" xfId="96" applyFont="1" applyFill="1">
      <alignment/>
      <protection/>
    </xf>
    <xf numFmtId="0" fontId="5" fillId="0" borderId="21" xfId="96" applyFont="1" applyBorder="1">
      <alignment/>
      <protection/>
    </xf>
    <xf numFmtId="14" fontId="2" fillId="0" borderId="17" xfId="96" applyNumberFormat="1" applyFont="1" applyBorder="1">
      <alignment/>
      <protection/>
    </xf>
    <xf numFmtId="14" fontId="2" fillId="0" borderId="0" xfId="96" applyNumberFormat="1" applyFont="1" applyBorder="1">
      <alignment/>
      <protection/>
    </xf>
    <xf numFmtId="0" fontId="0" fillId="5" borderId="30" xfId="96" applyFont="1" applyFill="1" applyBorder="1" applyAlignment="1">
      <alignment horizontal="left" vertical="center"/>
      <protection/>
    </xf>
    <xf numFmtId="43" fontId="0" fillId="5" borderId="25" xfId="96" applyNumberFormat="1" applyFill="1" applyBorder="1" applyAlignment="1">
      <alignment horizontal="center"/>
      <protection/>
    </xf>
    <xf numFmtId="43" fontId="0" fillId="0" borderId="0" xfId="96" applyNumberFormat="1" applyBorder="1" applyAlignment="1">
      <alignment horizontal="center"/>
      <protection/>
    </xf>
    <xf numFmtId="0" fontId="0" fillId="0" borderId="21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 wrapText="1"/>
      <protection/>
    </xf>
    <xf numFmtId="0" fontId="57" fillId="36" borderId="17" xfId="96" applyFont="1" applyFill="1" applyBorder="1" applyAlignment="1">
      <alignment horizontal="center" vertical="center"/>
      <protection/>
    </xf>
    <xf numFmtId="0" fontId="55" fillId="36" borderId="17" xfId="96" applyFont="1" applyFill="1" applyBorder="1" applyAlignment="1">
      <alignment horizontal="center" vertical="center"/>
      <protection/>
    </xf>
    <xf numFmtId="0" fontId="57" fillId="36" borderId="11" xfId="96" applyFont="1" applyFill="1" applyBorder="1" applyAlignment="1">
      <alignment horizontal="center" vertical="center"/>
      <protection/>
    </xf>
    <xf numFmtId="0" fontId="0" fillId="5" borderId="31" xfId="96" applyFont="1" applyFill="1" applyBorder="1" applyAlignment="1">
      <alignment horizontal="left" vertical="center"/>
      <protection/>
    </xf>
    <xf numFmtId="0" fontId="2" fillId="36" borderId="17" xfId="96" applyFont="1" applyFill="1" applyBorder="1" applyAlignment="1">
      <alignment horizontal="center" vertical="center"/>
      <protection/>
    </xf>
    <xf numFmtId="200" fontId="57" fillId="36" borderId="17" xfId="96" applyNumberFormat="1" applyFont="1" applyFill="1" applyBorder="1" applyAlignment="1">
      <alignment horizontal="center" vertical="center"/>
      <protection/>
    </xf>
    <xf numFmtId="0" fontId="2" fillId="36" borderId="17" xfId="96" applyNumberFormat="1" applyFont="1" applyFill="1" applyBorder="1" applyAlignment="1">
      <alignment horizontal="center" vertical="center"/>
      <protection/>
    </xf>
    <xf numFmtId="0" fontId="57" fillId="36" borderId="17" xfId="96" applyNumberFormat="1" applyFont="1" applyFill="1" applyBorder="1" applyAlignment="1">
      <alignment horizontal="center" vertical="center"/>
      <protection/>
    </xf>
    <xf numFmtId="0" fontId="2" fillId="5" borderId="31" xfId="96" applyFont="1" applyFill="1" applyBorder="1" applyAlignment="1">
      <alignment horizontal="left" vertical="center"/>
      <protection/>
    </xf>
    <xf numFmtId="43" fontId="2" fillId="5" borderId="26" xfId="96" applyNumberFormat="1" applyFont="1" applyFill="1" applyBorder="1" applyAlignment="1">
      <alignment horizontal="center"/>
      <protection/>
    </xf>
    <xf numFmtId="43" fontId="2" fillId="0" borderId="0" xfId="96" applyNumberFormat="1" applyFont="1" applyBorder="1" applyAlignment="1">
      <alignment horizontal="center"/>
      <protection/>
    </xf>
    <xf numFmtId="0" fontId="2" fillId="0" borderId="22" xfId="96" applyNumberFormat="1" applyFont="1" applyBorder="1" applyAlignment="1">
      <alignment horizontal="center" vertical="center"/>
      <protection/>
    </xf>
    <xf numFmtId="200" fontId="57" fillId="0" borderId="22" xfId="96" applyNumberFormat="1" applyFont="1" applyBorder="1" applyAlignment="1">
      <alignment horizontal="center" vertical="center"/>
      <protection/>
    </xf>
    <xf numFmtId="0" fontId="57" fillId="0" borderId="22" xfId="96" applyNumberFormat="1" applyFont="1" applyBorder="1" applyAlignment="1">
      <alignment horizontal="center" vertical="center"/>
      <protection/>
    </xf>
    <xf numFmtId="0" fontId="0" fillId="0" borderId="31" xfId="96" applyFont="1" applyBorder="1" applyAlignment="1">
      <alignment horizontal="left" vertical="center"/>
      <protection/>
    </xf>
    <xf numFmtId="43" fontId="0" fillId="0" borderId="26" xfId="96" applyNumberFormat="1" applyBorder="1" applyAlignment="1">
      <alignment horizontal="center"/>
      <protection/>
    </xf>
    <xf numFmtId="195" fontId="2" fillId="0" borderId="21" xfId="96" applyNumberFormat="1" applyFont="1" applyBorder="1" applyAlignment="1">
      <alignment horizontal="center" vertical="center"/>
      <protection/>
    </xf>
    <xf numFmtId="1" fontId="2" fillId="38" borderId="32" xfId="96" applyNumberFormat="1" applyFont="1" applyFill="1" applyBorder="1" applyAlignment="1">
      <alignment horizontal="center" vertical="center"/>
      <protection/>
    </xf>
    <xf numFmtId="1" fontId="2" fillId="38" borderId="33" xfId="96" applyNumberFormat="1" applyFont="1" applyFill="1" applyBorder="1" applyAlignment="1">
      <alignment horizontal="center" vertical="center"/>
      <protection/>
    </xf>
    <xf numFmtId="1" fontId="2" fillId="39" borderId="33" xfId="96" applyNumberFormat="1" applyFont="1" applyFill="1" applyBorder="1" applyAlignment="1">
      <alignment horizontal="center" vertical="center"/>
      <protection/>
    </xf>
    <xf numFmtId="1" fontId="2" fillId="39" borderId="34" xfId="96" applyNumberFormat="1" applyFont="1" applyFill="1" applyBorder="1" applyAlignment="1">
      <alignment horizontal="center" vertical="center"/>
      <protection/>
    </xf>
    <xf numFmtId="0" fontId="0" fillId="12" borderId="31" xfId="96" applyFont="1" applyFill="1" applyBorder="1" applyAlignment="1">
      <alignment horizontal="left" vertical="center"/>
      <protection/>
    </xf>
    <xf numFmtId="1" fontId="2" fillId="38" borderId="35" xfId="96" applyNumberFormat="1" applyFont="1" applyFill="1" applyBorder="1" applyAlignment="1">
      <alignment horizontal="center" vertical="center"/>
      <protection/>
    </xf>
    <xf numFmtId="1" fontId="2" fillId="38" borderId="29" xfId="96" applyNumberFormat="1" applyFont="1" applyFill="1" applyBorder="1" applyAlignment="1">
      <alignment horizontal="center" vertical="center"/>
      <protection/>
    </xf>
    <xf numFmtId="1" fontId="2" fillId="39" borderId="29" xfId="96" applyNumberFormat="1" applyFont="1" applyFill="1" applyBorder="1" applyAlignment="1">
      <alignment horizontal="center" vertical="center"/>
      <protection/>
    </xf>
    <xf numFmtId="1" fontId="2" fillId="39" borderId="36" xfId="96" applyNumberFormat="1" applyFont="1" applyFill="1" applyBorder="1" applyAlignment="1">
      <alignment horizontal="center" vertical="center"/>
      <protection/>
    </xf>
    <xf numFmtId="195" fontId="57" fillId="0" borderId="21" xfId="96" applyNumberFormat="1" applyFont="1" applyBorder="1" applyAlignment="1">
      <alignment horizontal="center" vertical="center"/>
      <protection/>
    </xf>
    <xf numFmtId="0" fontId="0" fillId="7" borderId="31" xfId="96" applyFont="1" applyFill="1" applyBorder="1" applyAlignment="1">
      <alignment horizontal="left" vertical="center"/>
      <protection/>
    </xf>
    <xf numFmtId="200" fontId="0" fillId="7" borderId="26" xfId="96" applyNumberFormat="1" applyFill="1" applyBorder="1" applyAlignment="1">
      <alignment horizontal="center"/>
      <protection/>
    </xf>
    <xf numFmtId="0" fontId="0" fillId="7" borderId="31" xfId="96" applyFont="1" applyFill="1" applyBorder="1" applyAlignment="1">
      <alignment horizontal="left" vertical="center" wrapText="1"/>
      <protection/>
    </xf>
    <xf numFmtId="1" fontId="2" fillId="38" borderId="37" xfId="96" applyNumberFormat="1" applyFont="1" applyFill="1" applyBorder="1" applyAlignment="1">
      <alignment horizontal="center" vertical="center"/>
      <protection/>
    </xf>
    <xf numFmtId="1" fontId="2" fillId="38" borderId="38" xfId="96" applyNumberFormat="1" applyFont="1" applyFill="1" applyBorder="1" applyAlignment="1">
      <alignment horizontal="center" vertical="center"/>
      <protection/>
    </xf>
    <xf numFmtId="1" fontId="2" fillId="39" borderId="38" xfId="96" applyNumberFormat="1" applyFont="1" applyFill="1" applyBorder="1" applyAlignment="1">
      <alignment horizontal="center" vertical="center"/>
      <protection/>
    </xf>
    <xf numFmtId="1" fontId="2" fillId="39" borderId="39" xfId="96" applyNumberFormat="1" applyFont="1" applyFill="1" applyBorder="1" applyAlignment="1">
      <alignment horizontal="center" vertical="center"/>
      <protection/>
    </xf>
    <xf numFmtId="0" fontId="2" fillId="7" borderId="40" xfId="96" applyFont="1" applyFill="1" applyBorder="1" applyAlignment="1">
      <alignment horizontal="left" vertical="center" wrapText="1"/>
      <protection/>
    </xf>
    <xf numFmtId="43" fontId="2" fillId="7" borderId="41" xfId="96" applyNumberFormat="1" applyFont="1" applyFill="1" applyBorder="1" applyAlignment="1">
      <alignment horizontal="center"/>
      <protection/>
    </xf>
    <xf numFmtId="0" fontId="9" fillId="0" borderId="0" xfId="96" applyFont="1" applyBorder="1" applyAlignment="1">
      <alignment horizontal="center" vertical="center" textRotation="90" wrapText="1"/>
      <protection/>
    </xf>
    <xf numFmtId="195" fontId="9" fillId="0" borderId="0" xfId="96" applyNumberFormat="1" applyFont="1" applyBorder="1" applyAlignment="1">
      <alignment horizontal="center" vertical="center"/>
      <protection/>
    </xf>
    <xf numFmtId="1" fontId="9" fillId="0" borderId="0" xfId="96" applyNumberFormat="1" applyFont="1" applyFill="1" applyBorder="1" applyAlignment="1">
      <alignment horizontal="center" vertical="center"/>
      <protection/>
    </xf>
    <xf numFmtId="0" fontId="2" fillId="0" borderId="0" xfId="96" applyFont="1" applyFill="1" applyBorder="1" applyAlignment="1">
      <alignment horizontal="left" vertical="center" wrapText="1"/>
      <protection/>
    </xf>
    <xf numFmtId="43" fontId="2" fillId="0" borderId="0" xfId="96" applyNumberFormat="1" applyFont="1" applyFill="1" applyBorder="1" applyAlignment="1">
      <alignment horizontal="center"/>
      <protection/>
    </xf>
    <xf numFmtId="43" fontId="0" fillId="0" borderId="0" xfId="96" applyNumberFormat="1" applyFill="1" applyBorder="1" applyAlignment="1">
      <alignment horizontal="center"/>
      <protection/>
    </xf>
    <xf numFmtId="0" fontId="9" fillId="0" borderId="0" xfId="96" applyFont="1" applyFill="1" applyBorder="1" applyAlignment="1">
      <alignment horizontal="center" vertical="center" textRotation="90" wrapText="1"/>
      <protection/>
    </xf>
    <xf numFmtId="195" fontId="9" fillId="0" borderId="0" xfId="96" applyNumberFormat="1" applyFont="1" applyFill="1" applyBorder="1" applyAlignment="1">
      <alignment horizontal="center" vertical="center"/>
      <protection/>
    </xf>
    <xf numFmtId="183" fontId="2" fillId="36" borderId="17" xfId="96" applyNumberFormat="1" applyFont="1" applyFill="1" applyBorder="1" applyAlignment="1">
      <alignment horizontal="center" vertical="center"/>
      <protection/>
    </xf>
    <xf numFmtId="183" fontId="55" fillId="36" borderId="17" xfId="96" applyNumberFormat="1" applyFont="1" applyFill="1" applyBorder="1" applyAlignment="1">
      <alignment horizontal="center" vertical="center"/>
      <protection/>
    </xf>
    <xf numFmtId="183" fontId="57" fillId="36" borderId="17" xfId="96" applyNumberFormat="1" applyFont="1" applyFill="1" applyBorder="1" applyAlignment="1">
      <alignment horizontal="center" vertical="center"/>
      <protection/>
    </xf>
    <xf numFmtId="183" fontId="55" fillId="0" borderId="22" xfId="96" applyNumberFormat="1" applyFont="1" applyBorder="1" applyAlignment="1">
      <alignment horizontal="center" vertical="center"/>
      <protection/>
    </xf>
    <xf numFmtId="183" fontId="57" fillId="0" borderId="22" xfId="96" applyNumberFormat="1" applyFont="1" applyBorder="1" applyAlignment="1">
      <alignment horizontal="center" vertical="center"/>
      <protection/>
    </xf>
    <xf numFmtId="43" fontId="0" fillId="0" borderId="0" xfId="96" applyNumberFormat="1" applyBorder="1" applyAlignment="1">
      <alignment horizontal="center" vertical="center"/>
      <protection/>
    </xf>
    <xf numFmtId="0" fontId="2" fillId="0" borderId="0" xfId="96" applyFont="1" applyBorder="1" applyAlignment="1">
      <alignment horizontal="center" vertical="center"/>
      <protection/>
    </xf>
    <xf numFmtId="183" fontId="2" fillId="0" borderId="22" xfId="96" applyNumberFormat="1" applyFont="1" applyBorder="1" applyAlignment="1">
      <alignment horizontal="center" vertical="center"/>
      <protection/>
    </xf>
    <xf numFmtId="0" fontId="0" fillId="0" borderId="0" xfId="96" applyBorder="1" applyAlignment="1">
      <alignment horizontal="center" vertical="center"/>
      <protection/>
    </xf>
    <xf numFmtId="2" fontId="0" fillId="0" borderId="0" xfId="96" applyNumberFormat="1" applyBorder="1" applyAlignment="1">
      <alignment horizontal="center" vertical="center"/>
      <protection/>
    </xf>
    <xf numFmtId="201" fontId="0" fillId="7" borderId="26" xfId="96" applyNumberFormat="1" applyFill="1" applyBorder="1" applyAlignment="1">
      <alignment horizontal="center"/>
      <protection/>
    </xf>
    <xf numFmtId="43" fontId="0" fillId="0" borderId="0" xfId="96" applyNumberFormat="1" applyBorder="1" applyAlignment="1">
      <alignment horizontal="center" vertical="center" wrapText="1"/>
      <protection/>
    </xf>
    <xf numFmtId="174" fontId="2" fillId="0" borderId="0" xfId="0" applyNumberFormat="1" applyFont="1" applyFill="1" applyBorder="1" applyAlignment="1" applyProtection="1">
      <alignment/>
      <protection hidden="1"/>
    </xf>
    <xf numFmtId="43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71" applyFont="1" applyBorder="1">
      <alignment/>
      <protection/>
    </xf>
    <xf numFmtId="195" fontId="0" fillId="0" borderId="0" xfId="71" applyNumberFormat="1" applyFont="1" applyBorder="1" applyAlignment="1">
      <alignment horizontal="center"/>
      <protection/>
    </xf>
    <xf numFmtId="3" fontId="0" fillId="0" borderId="0" xfId="71" applyNumberFormat="1" applyFont="1" applyBorder="1">
      <alignment/>
      <protection/>
    </xf>
    <xf numFmtId="0" fontId="12" fillId="36" borderId="16" xfId="71" applyNumberFormat="1" applyFont="1" applyFill="1" applyBorder="1" applyAlignment="1">
      <alignment vertical="center"/>
      <protection/>
    </xf>
    <xf numFmtId="0" fontId="0" fillId="36" borderId="20" xfId="71" applyNumberFormat="1" applyFont="1" applyFill="1" applyBorder="1" applyAlignment="1" applyProtection="1">
      <alignment/>
      <protection hidden="1"/>
    </xf>
    <xf numFmtId="0" fontId="0" fillId="36" borderId="0" xfId="71" applyNumberFormat="1" applyFont="1" applyFill="1" applyBorder="1" applyAlignment="1" applyProtection="1">
      <alignment/>
      <protection hidden="1"/>
    </xf>
    <xf numFmtId="0" fontId="12" fillId="36" borderId="12" xfId="71" applyNumberFormat="1" applyFont="1" applyFill="1" applyBorder="1" applyAlignment="1">
      <alignment vertical="center"/>
      <protection/>
    </xf>
    <xf numFmtId="0" fontId="0" fillId="36" borderId="19" xfId="71" applyNumberFormat="1" applyFont="1" applyFill="1" applyBorder="1" applyAlignment="1" applyProtection="1">
      <alignment/>
      <protection hidden="1"/>
    </xf>
    <xf numFmtId="0" fontId="0" fillId="36" borderId="18" xfId="71" applyNumberFormat="1" applyFont="1" applyFill="1" applyBorder="1" applyAlignment="1" applyProtection="1">
      <alignment/>
      <protection hidden="1"/>
    </xf>
    <xf numFmtId="0" fontId="2" fillId="0" borderId="21" xfId="71" applyFont="1" applyFill="1" applyBorder="1" applyAlignment="1" applyProtection="1">
      <alignment horizontal="left"/>
      <protection hidden="1"/>
    </xf>
    <xf numFmtId="0" fontId="2" fillId="35" borderId="21" xfId="71" applyFont="1" applyFill="1" applyBorder="1" applyAlignment="1" applyProtection="1">
      <alignment horizontal="left"/>
      <protection hidden="1"/>
    </xf>
    <xf numFmtId="0" fontId="2" fillId="0" borderId="31" xfId="71" applyFont="1" applyFill="1" applyBorder="1" applyAlignment="1" applyProtection="1">
      <alignment horizontal="left"/>
      <protection hidden="1"/>
    </xf>
    <xf numFmtId="0" fontId="2" fillId="0" borderId="12" xfId="71" applyFont="1" applyFill="1" applyBorder="1" applyAlignment="1" applyProtection="1">
      <alignment horizontal="left"/>
      <protection hidden="1"/>
    </xf>
    <xf numFmtId="0" fontId="2" fillId="0" borderId="0" xfId="71" applyFont="1" applyFill="1" applyBorder="1" applyAlignment="1" applyProtection="1">
      <alignment horizontal="left"/>
      <protection hidden="1"/>
    </xf>
    <xf numFmtId="0" fontId="2" fillId="0" borderId="42" xfId="71" applyFont="1" applyFill="1" applyBorder="1" applyAlignment="1" applyProtection="1">
      <alignment horizontal="left"/>
      <protection hidden="1"/>
    </xf>
    <xf numFmtId="0" fontId="2" fillId="0" borderId="43" xfId="71" applyFont="1" applyFill="1" applyBorder="1" applyAlignment="1" applyProtection="1">
      <alignment horizontal="left"/>
      <protection hidden="1"/>
    </xf>
    <xf numFmtId="0" fontId="2" fillId="0" borderId="44" xfId="71" applyFont="1" applyFill="1" applyBorder="1" applyAlignment="1" applyProtection="1">
      <alignment horizontal="left"/>
      <protection hidden="1"/>
    </xf>
    <xf numFmtId="0" fontId="2" fillId="36" borderId="12" xfId="71" applyFont="1" applyFill="1" applyBorder="1" applyAlignment="1" applyProtection="1">
      <alignment horizontal="left"/>
      <protection hidden="1"/>
    </xf>
    <xf numFmtId="0" fontId="2" fillId="36" borderId="0" xfId="71" applyFont="1" applyFill="1" applyBorder="1" applyAlignment="1" applyProtection="1">
      <alignment horizontal="left"/>
      <protection hidden="1"/>
    </xf>
    <xf numFmtId="0" fontId="2" fillId="34" borderId="21" xfId="71" applyFont="1" applyFill="1" applyBorder="1" applyAlignment="1" applyProtection="1">
      <alignment horizontal="left"/>
      <protection hidden="1"/>
    </xf>
    <xf numFmtId="0" fontId="2" fillId="34" borderId="11" xfId="71" applyFont="1" applyFill="1" applyBorder="1" applyAlignment="1" applyProtection="1">
      <alignment horizontal="left"/>
      <protection hidden="1"/>
    </xf>
    <xf numFmtId="0" fontId="0" fillId="34" borderId="14" xfId="71" applyFont="1" applyFill="1" applyBorder="1" applyAlignment="1" applyProtection="1">
      <alignment/>
      <protection hidden="1"/>
    </xf>
    <xf numFmtId="0" fontId="2" fillId="0" borderId="11" xfId="71" applyFont="1" applyFill="1" applyBorder="1" applyAlignment="1" applyProtection="1">
      <alignment horizontal="left"/>
      <protection hidden="1"/>
    </xf>
    <xf numFmtId="0" fontId="2" fillId="35" borderId="11" xfId="71" applyFont="1" applyFill="1" applyBorder="1" applyAlignment="1" applyProtection="1">
      <alignment horizontal="left"/>
      <protection hidden="1"/>
    </xf>
    <xf numFmtId="165" fontId="2" fillId="35" borderId="14" xfId="71" applyNumberFormat="1" applyFont="1" applyFill="1" applyBorder="1" applyAlignment="1" applyProtection="1">
      <alignment horizontal="left"/>
      <protection hidden="1"/>
    </xf>
    <xf numFmtId="0" fontId="2" fillId="34" borderId="21" xfId="0" applyFont="1" applyFill="1" applyBorder="1" applyAlignment="1" applyProtection="1">
      <alignment horizontal="left"/>
      <protection hidden="1"/>
    </xf>
    <xf numFmtId="0" fontId="2" fillId="34" borderId="11" xfId="0" applyFont="1" applyFill="1" applyBorder="1" applyAlignment="1" applyProtection="1">
      <alignment horizontal="left"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0" fontId="2" fillId="35" borderId="21" xfId="0" applyFont="1" applyFill="1" applyBorder="1" applyAlignment="1" applyProtection="1">
      <alignment horizontal="left"/>
      <protection hidden="1"/>
    </xf>
    <xf numFmtId="0" fontId="2" fillId="35" borderId="11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5" fontId="2" fillId="35" borderId="14" xfId="0" applyNumberFormat="1" applyFont="1" applyFill="1" applyBorder="1" applyAlignment="1" applyProtection="1">
      <alignment horizontal="left"/>
      <protection hidden="1"/>
    </xf>
    <xf numFmtId="0" fontId="11" fillId="36" borderId="10" xfId="71" applyNumberFormat="1" applyFont="1" applyFill="1" applyBorder="1" applyAlignment="1">
      <alignment vertical="center"/>
      <protection/>
    </xf>
    <xf numFmtId="0" fontId="0" fillId="36" borderId="13" xfId="71" applyNumberFormat="1" applyFont="1" applyFill="1" applyBorder="1" applyAlignment="1" applyProtection="1">
      <alignment/>
      <protection hidden="1"/>
    </xf>
    <xf numFmtId="0" fontId="0" fillId="36" borderId="15" xfId="71" applyNumberFormat="1" applyFont="1" applyFill="1" applyBorder="1" applyAlignment="1" applyProtection="1">
      <alignment/>
      <protection hidden="1"/>
    </xf>
    <xf numFmtId="0" fontId="0" fillId="0" borderId="0" xfId="74">
      <alignment/>
      <protection/>
    </xf>
    <xf numFmtId="15" fontId="0" fillId="0" borderId="0" xfId="74" applyNumberFormat="1">
      <alignment/>
      <protection/>
    </xf>
    <xf numFmtId="0" fontId="59" fillId="16" borderId="29" xfId="74" applyFont="1" applyFill="1" applyBorder="1" applyAlignment="1">
      <alignment horizontal="center" wrapText="1"/>
      <protection/>
    </xf>
    <xf numFmtId="0" fontId="59" fillId="0" borderId="29" xfId="0" applyFont="1" applyFill="1" applyBorder="1" applyAlignment="1">
      <alignment/>
    </xf>
    <xf numFmtId="0" fontId="60" fillId="0" borderId="0" xfId="81" applyFont="1">
      <alignment/>
      <protection/>
    </xf>
    <xf numFmtId="43" fontId="60" fillId="0" borderId="0" xfId="81" applyNumberFormat="1" applyFont="1">
      <alignment/>
      <protection/>
    </xf>
    <xf numFmtId="0" fontId="2" fillId="40" borderId="15" xfId="0" applyFont="1" applyFill="1" applyBorder="1" applyAlignment="1" applyProtection="1">
      <alignment horizontal="center" wrapText="1"/>
      <protection hidden="1"/>
    </xf>
    <xf numFmtId="0" fontId="2" fillId="0" borderId="21" xfId="96" applyFont="1" applyBorder="1" applyAlignment="1">
      <alignment horizontal="center" vertical="center"/>
      <protection/>
    </xf>
    <xf numFmtId="0" fontId="2" fillId="0" borderId="14" xfId="96" applyFont="1" applyBorder="1" applyAlignment="1">
      <alignment horizontal="center" vertical="center"/>
      <protection/>
    </xf>
    <xf numFmtId="0" fontId="2" fillId="0" borderId="21" xfId="96" applyFont="1" applyBorder="1" applyAlignment="1">
      <alignment vertical="center" wrapText="1"/>
      <protection/>
    </xf>
    <xf numFmtId="0" fontId="2" fillId="0" borderId="14" xfId="96" applyFont="1" applyBorder="1" applyAlignment="1">
      <alignment vertical="center" wrapText="1"/>
      <protection/>
    </xf>
    <xf numFmtId="0" fontId="2" fillId="0" borderId="11" xfId="96" applyFont="1" applyBorder="1" applyAlignment="1">
      <alignment horizontal="center" vertical="center"/>
      <protection/>
    </xf>
    <xf numFmtId="0" fontId="2" fillId="0" borderId="22" xfId="96" applyFont="1" applyBorder="1" applyAlignment="1">
      <alignment horizontal="center" vertical="center" textRotation="90" wrapText="1"/>
      <protection/>
    </xf>
    <xf numFmtId="0" fontId="2" fillId="0" borderId="23" xfId="96" applyFont="1" applyBorder="1" applyAlignment="1">
      <alignment horizontal="center" vertical="center" textRotation="90" wrapText="1"/>
      <protection/>
    </xf>
    <xf numFmtId="0" fontId="2" fillId="0" borderId="24" xfId="96" applyFont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10" fillId="33" borderId="21" xfId="71" applyFont="1" applyFill="1" applyBorder="1" applyAlignment="1" applyProtection="1">
      <alignment horizontal="left" wrapText="1"/>
      <protection hidden="1"/>
    </xf>
    <xf numFmtId="0" fontId="0" fillId="0" borderId="11" xfId="71" applyBorder="1" applyAlignment="1">
      <alignment wrapText="1"/>
      <protection/>
    </xf>
    <xf numFmtId="0" fontId="10" fillId="33" borderId="11" xfId="71" applyFont="1" applyFill="1" applyBorder="1" applyAlignment="1" applyProtection="1">
      <alignment wrapText="1"/>
      <protection hidden="1"/>
    </xf>
    <xf numFmtId="0" fontId="2" fillId="35" borderId="21" xfId="71" applyFont="1" applyFill="1" applyBorder="1" applyAlignment="1" applyProtection="1">
      <alignment horizontal="left" wrapText="1"/>
      <protection hidden="1"/>
    </xf>
    <xf numFmtId="0" fontId="0" fillId="0" borderId="11" xfId="71" applyBorder="1" applyAlignment="1">
      <alignment horizontal="left" wrapText="1"/>
      <protection/>
    </xf>
    <xf numFmtId="0" fontId="0" fillId="0" borderId="14" xfId="71" applyBorder="1" applyAlignment="1">
      <alignment horizontal="left" wrapText="1"/>
      <protection/>
    </xf>
    <xf numFmtId="0" fontId="2" fillId="34" borderId="21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35" borderId="11" xfId="71" applyFont="1" applyFill="1" applyBorder="1" applyAlignment="1" applyProtection="1">
      <alignment horizontal="left" wrapText="1"/>
      <protection hidden="1"/>
    </xf>
    <xf numFmtId="0" fontId="2" fillId="35" borderId="14" xfId="71" applyFont="1" applyFill="1" applyBorder="1" applyAlignment="1" applyProtection="1">
      <alignment horizontal="left" wrapText="1"/>
      <protection hidden="1"/>
    </xf>
    <xf numFmtId="0" fontId="2" fillId="34" borderId="21" xfId="71" applyFont="1" applyFill="1" applyBorder="1" applyAlignment="1" applyProtection="1">
      <alignment horizontal="left" wrapText="1" readingOrder="1"/>
      <protection hidden="1"/>
    </xf>
    <xf numFmtId="0" fontId="2" fillId="34" borderId="11" xfId="71" applyFont="1" applyFill="1" applyBorder="1" applyAlignment="1" applyProtection="1">
      <alignment horizontal="left" wrapText="1" readingOrder="1"/>
      <protection hidden="1"/>
    </xf>
    <xf numFmtId="0" fontId="2" fillId="34" borderId="14" xfId="71" applyFont="1" applyFill="1" applyBorder="1" applyAlignment="1" applyProtection="1">
      <alignment horizontal="left" wrapText="1" readingOrder="1"/>
      <protection hidden="1"/>
    </xf>
    <xf numFmtId="164" fontId="2" fillId="35" borderId="21" xfId="71" applyNumberFormat="1" applyFont="1" applyFill="1" applyBorder="1" applyAlignment="1" applyProtection="1">
      <alignment horizontal="left" wrapText="1"/>
      <protection hidden="1"/>
    </xf>
    <xf numFmtId="164" fontId="2" fillId="35" borderId="11" xfId="71" applyNumberFormat="1" applyFont="1" applyFill="1" applyBorder="1" applyAlignment="1" applyProtection="1">
      <alignment horizontal="left" wrapText="1"/>
      <protection hidden="1"/>
    </xf>
    <xf numFmtId="164" fontId="2" fillId="35" borderId="14" xfId="71" applyNumberFormat="1" applyFont="1" applyFill="1" applyBorder="1" applyAlignment="1" applyProtection="1">
      <alignment horizontal="left" wrapText="1"/>
      <protection hidden="1"/>
    </xf>
    <xf numFmtId="0" fontId="60" fillId="0" borderId="0" xfId="81" applyFont="1" applyAlignment="1">
      <alignment horizontal="center"/>
      <protection/>
    </xf>
    <xf numFmtId="0" fontId="2" fillId="34" borderId="21" xfId="71" applyFont="1" applyFill="1" applyBorder="1" applyAlignment="1" applyProtection="1">
      <alignment horizontal="left" wrapText="1"/>
      <protection hidden="1"/>
    </xf>
    <xf numFmtId="200" fontId="61" fillId="0" borderId="29" xfId="71" applyNumberFormat="1" applyFont="1" applyFill="1" applyBorder="1" applyAlignment="1" applyProtection="1">
      <alignment horizontal="center"/>
      <protection locked="0"/>
    </xf>
    <xf numFmtId="0" fontId="0" fillId="0" borderId="0" xfId="96" applyProtection="1">
      <alignment/>
      <protection locked="0"/>
    </xf>
    <xf numFmtId="200" fontId="61" fillId="0" borderId="29" xfId="74" applyNumberFormat="1" applyFont="1" applyFill="1" applyBorder="1" applyAlignment="1" applyProtection="1">
      <alignment horizontal="center"/>
      <protection locked="0"/>
    </xf>
    <xf numFmtId="43" fontId="57" fillId="12" borderId="26" xfId="96" applyNumberFormat="1" applyFont="1" applyFill="1" applyBorder="1" applyAlignment="1" applyProtection="1">
      <alignment horizont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3 2" xfId="49"/>
    <cellStyle name="Comma 3 3" xfId="50"/>
    <cellStyle name="Comma 3 4" xfId="51"/>
    <cellStyle name="Comma 4" xfId="52"/>
    <cellStyle name="Comma 5" xfId="53"/>
    <cellStyle name="Comma 6" xfId="54"/>
    <cellStyle name="Currency" xfId="55"/>
    <cellStyle name="Currency [0]" xfId="56"/>
    <cellStyle name="Currency 2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2 2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2 3" xfId="74"/>
    <cellStyle name="Normal 2 2 4" xfId="75"/>
    <cellStyle name="Normal 2 3" xfId="76"/>
    <cellStyle name="Normal 2 4" xfId="77"/>
    <cellStyle name="Normal 2 5" xfId="78"/>
    <cellStyle name="Normal 3" xfId="79"/>
    <cellStyle name="Normal 3 2" xfId="80"/>
    <cellStyle name="Normal 3 2 2" xfId="81"/>
    <cellStyle name="Normal 3 2 3" xfId="82"/>
    <cellStyle name="Normal 3 2 4" xfId="83"/>
    <cellStyle name="Normal 3 3" xfId="84"/>
    <cellStyle name="Normal 3 4" xfId="85"/>
    <cellStyle name="Normal 3 5" xfId="86"/>
    <cellStyle name="Normal 3 6" xfId="87"/>
    <cellStyle name="Normal 4" xfId="88"/>
    <cellStyle name="Normal 4 2" xfId="89"/>
    <cellStyle name="Normal 4 2 2" xfId="90"/>
    <cellStyle name="Normal 4 2 3" xfId="91"/>
    <cellStyle name="Normal 4 3" xfId="92"/>
    <cellStyle name="Normal 5" xfId="93"/>
    <cellStyle name="Normal 5 2" xfId="94"/>
    <cellStyle name="Normal 5 3" xfId="95"/>
    <cellStyle name="Normal 6" xfId="96"/>
    <cellStyle name="Note" xfId="97"/>
    <cellStyle name="Output" xfId="98"/>
    <cellStyle name="Percent" xfId="99"/>
    <cellStyle name="Percent 2" xfId="100"/>
    <cellStyle name="Percent 2 2" xfId="101"/>
    <cellStyle name="Percent 2 3" xfId="102"/>
    <cellStyle name="Percent 2 4" xfId="103"/>
    <cellStyle name="Percent 2 5" xfId="104"/>
    <cellStyle name="Percent 2 6" xfId="105"/>
    <cellStyle name="Percent 3" xfId="106"/>
    <cellStyle name="Percent 3 2" xfId="107"/>
    <cellStyle name="Percent 4" xfId="108"/>
    <cellStyle name="Percent 4 2" xfId="109"/>
    <cellStyle name="Percent 5" xfId="110"/>
    <cellStyle name="Percent 5 2" xfId="111"/>
    <cellStyle name="Percent 5 2 2" xfId="112"/>
    <cellStyle name="Percent 5 2 3" xfId="113"/>
    <cellStyle name="Percent 6" xfId="114"/>
    <cellStyle name="Percent 7" xfId="115"/>
    <cellStyle name="Percent 7 2" xfId="116"/>
    <cellStyle name="Percent 7 3" xfId="117"/>
    <cellStyle name="Percent 7 4" xfId="118"/>
    <cellStyle name="Percent 8" xfId="119"/>
    <cellStyle name="Percent 8 2" xfId="120"/>
    <cellStyle name="Percent 8 3" xfId="121"/>
    <cellStyle name="Percent 9" xfId="122"/>
    <cellStyle name="Title" xfId="123"/>
    <cellStyle name="Total" xfId="124"/>
    <cellStyle name="Warning Text" xfId="125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76200</xdr:rowOff>
    </xdr:from>
    <xdr:to>
      <xdr:col>8</xdr:col>
      <xdr:colOff>723900</xdr:colOff>
      <xdr:row>2</xdr:row>
      <xdr:rowOff>76200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7620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7251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66675</xdr:rowOff>
    </xdr:from>
    <xdr:to>
      <xdr:col>8</xdr:col>
      <xdr:colOff>771525</xdr:colOff>
      <xdr:row>2</xdr:row>
      <xdr:rowOff>57150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666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9537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118</xdr:row>
      <xdr:rowOff>152400</xdr:rowOff>
    </xdr:from>
    <xdr:to>
      <xdr:col>9</xdr:col>
      <xdr:colOff>866775</xdr:colOff>
      <xdr:row>126</xdr:row>
      <xdr:rowOff>76200</xdr:rowOff>
    </xdr:to>
    <xdr:pic>
      <xdr:nvPicPr>
        <xdr:cNvPr id="1" name="Picture 5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0421600"/>
          <a:ext cx="809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57150</xdr:rowOff>
    </xdr:from>
    <xdr:to>
      <xdr:col>8</xdr:col>
      <xdr:colOff>695325</xdr:colOff>
      <xdr:row>2</xdr:row>
      <xdr:rowOff>19050</xdr:rowOff>
    </xdr:to>
    <xdr:pic>
      <xdr:nvPicPr>
        <xdr:cNvPr id="2" name="Picture 6" descr="Graan SA - nuwe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715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3" descr="http://www.maizetrust.co.za/images/masthea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7251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115</xdr:row>
      <xdr:rowOff>28575</xdr:rowOff>
    </xdr:from>
    <xdr:to>
      <xdr:col>9</xdr:col>
      <xdr:colOff>857250</xdr:colOff>
      <xdr:row>122</xdr:row>
      <xdr:rowOff>28575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812000"/>
          <a:ext cx="819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57150</xdr:rowOff>
    </xdr:from>
    <xdr:to>
      <xdr:col>8</xdr:col>
      <xdr:colOff>685800</xdr:colOff>
      <xdr:row>2</xdr:row>
      <xdr:rowOff>76200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5715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3" descr="http://www.maizetrust.co.za/images/masthea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7251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57150</xdr:rowOff>
    </xdr:from>
    <xdr:to>
      <xdr:col>8</xdr:col>
      <xdr:colOff>733425</xdr:colOff>
      <xdr:row>2</xdr:row>
      <xdr:rowOff>38100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715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28575</xdr:rowOff>
    </xdr:from>
    <xdr:to>
      <xdr:col>8</xdr:col>
      <xdr:colOff>609600</xdr:colOff>
      <xdr:row>1</xdr:row>
      <xdr:rowOff>180975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28575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38100</xdr:rowOff>
    </xdr:from>
    <xdr:to>
      <xdr:col>8</xdr:col>
      <xdr:colOff>704850</xdr:colOff>
      <xdr:row>2</xdr:row>
      <xdr:rowOff>57150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810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60</xdr:row>
      <xdr:rowOff>19050</xdr:rowOff>
    </xdr:from>
    <xdr:to>
      <xdr:col>0</xdr:col>
      <xdr:colOff>990600</xdr:colOff>
      <xdr:row>63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8585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SA-16-17%20Noordwes%20Vrystaat%20begroting%20-%20North%20west%20Free%20state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yse + Sensatiwiteitsanali"/>
      <sheetName val="W-RR mielies Laer opbrengs "/>
      <sheetName val="W-RR mielies Hoer opbrengs  "/>
      <sheetName val="W-BT Mielies "/>
      <sheetName val="Stapelgeen Mielie"/>
      <sheetName val="Verminbe Stapelgeen mielie -5jr"/>
      <sheetName val="Sonneblom"/>
      <sheetName val="Grondbone"/>
      <sheetName val="Sojabone"/>
      <sheetName val="Graansorghum"/>
      <sheetName val="Bes-mielies"/>
    </sheetNames>
    <sheetDataSet>
      <sheetData sheetId="1">
        <row r="9">
          <cell r="M9">
            <v>3</v>
          </cell>
        </row>
        <row r="10">
          <cell r="M10">
            <v>3.5</v>
          </cell>
        </row>
        <row r="11">
          <cell r="M11">
            <v>4</v>
          </cell>
        </row>
        <row r="12">
          <cell r="M12">
            <v>4.5</v>
          </cell>
        </row>
        <row r="13">
          <cell r="M13">
            <v>5</v>
          </cell>
        </row>
        <row r="14">
          <cell r="M14">
            <v>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52.421875" style="100" customWidth="1"/>
    <col min="2" max="2" width="19.140625" style="100" bestFit="1" customWidth="1"/>
    <col min="3" max="3" width="3.28125" style="100" customWidth="1"/>
    <col min="4" max="4" width="23.7109375" style="100" customWidth="1"/>
    <col min="5" max="12" width="10.7109375" style="100" customWidth="1"/>
    <col min="13" max="15" width="9.140625" style="100" customWidth="1"/>
    <col min="16" max="16" width="22.7109375" style="100" customWidth="1"/>
    <col min="17" max="17" width="11.7109375" style="100" customWidth="1"/>
    <col min="18" max="26" width="9.421875" style="100" customWidth="1"/>
    <col min="27" max="16384" width="9.140625" style="100" customWidth="1"/>
  </cols>
  <sheetData>
    <row r="1" spans="1:14" s="101" customFormat="1" ht="28.5" customHeight="1">
      <c r="A1" s="99" t="s">
        <v>79</v>
      </c>
      <c r="B1" s="100"/>
      <c r="C1" s="100"/>
      <c r="D1" s="100"/>
      <c r="E1" s="100"/>
      <c r="F1" s="175"/>
      <c r="G1" s="176"/>
      <c r="H1" s="100"/>
      <c r="I1" s="100"/>
      <c r="J1" s="100"/>
      <c r="K1" s="100"/>
      <c r="L1" s="100"/>
      <c r="M1" s="100"/>
      <c r="N1" s="100"/>
    </row>
    <row r="2" spans="1:14" s="101" customFormat="1" ht="13.5" customHeight="1">
      <c r="A2" s="211" t="s">
        <v>78</v>
      </c>
      <c r="B2" s="212">
        <v>42580</v>
      </c>
      <c r="C2" s="100"/>
      <c r="D2" s="100"/>
      <c r="E2" s="100"/>
      <c r="F2" s="175"/>
      <c r="G2" s="176"/>
      <c r="H2" s="100"/>
      <c r="I2" s="100"/>
      <c r="J2" s="100"/>
      <c r="K2" s="100"/>
      <c r="L2" s="100"/>
      <c r="M2" s="100"/>
      <c r="N2" s="100"/>
    </row>
    <row r="3" spans="1:12" s="101" customFormat="1" ht="13.5" customHeight="1">
      <c r="A3" s="103" t="s">
        <v>5</v>
      </c>
      <c r="B3" s="104" t="s">
        <v>6</v>
      </c>
      <c r="C3" s="100"/>
      <c r="D3" s="213" t="s">
        <v>80</v>
      </c>
      <c r="E3" s="100"/>
      <c r="F3" s="177"/>
      <c r="G3" s="176"/>
      <c r="H3" s="100"/>
      <c r="I3" s="100"/>
      <c r="J3" s="100"/>
      <c r="K3" s="100"/>
      <c r="L3" s="100"/>
    </row>
    <row r="4" spans="1:12" s="101" customFormat="1" ht="13.5" customHeight="1">
      <c r="A4" s="214" t="s">
        <v>84</v>
      </c>
      <c r="B4" s="254">
        <v>2700</v>
      </c>
      <c r="C4" s="255"/>
      <c r="D4" s="256">
        <v>278</v>
      </c>
      <c r="E4" s="100"/>
      <c r="F4" s="175"/>
      <c r="G4" s="176"/>
      <c r="H4" s="100"/>
      <c r="I4" s="100"/>
      <c r="J4" s="100"/>
      <c r="K4" s="100"/>
      <c r="L4" s="100"/>
    </row>
    <row r="5" spans="1:14" s="101" customFormat="1" ht="13.5" customHeight="1">
      <c r="A5" s="214" t="s">
        <v>85</v>
      </c>
      <c r="B5" s="254">
        <v>6000</v>
      </c>
      <c r="C5" s="255"/>
      <c r="D5" s="256">
        <v>362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101" customFormat="1" ht="13.5" customHeight="1">
      <c r="A6" s="214" t="s">
        <v>86</v>
      </c>
      <c r="B6" s="254">
        <v>6200</v>
      </c>
      <c r="C6" s="255"/>
      <c r="D6" s="256">
        <v>62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108" customFormat="1" ht="13.5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s="101" customFormat="1" ht="13.5" customHeigh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s="101" customFormat="1" ht="13.5" customHeight="1" thickBot="1">
      <c r="A9" s="217" t="s">
        <v>83</v>
      </c>
      <c r="B9" s="217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26" ht="20.25" customHeight="1" thickBot="1">
      <c r="A10" s="109" t="s">
        <v>7</v>
      </c>
      <c r="B10" s="110"/>
      <c r="C10" s="111"/>
      <c r="D10" s="218" t="s">
        <v>8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19"/>
      <c r="P10" s="218" t="s">
        <v>9</v>
      </c>
      <c r="Q10" s="222"/>
      <c r="R10" s="222"/>
      <c r="S10" s="222"/>
      <c r="T10" s="222"/>
      <c r="U10" s="222"/>
      <c r="V10" s="222"/>
      <c r="W10" s="222"/>
      <c r="X10" s="222"/>
      <c r="Y10" s="222"/>
      <c r="Z10" s="219"/>
    </row>
    <row r="11" spans="1:26" ht="13.5" customHeight="1" thickBot="1">
      <c r="A11" s="112" t="s">
        <v>10</v>
      </c>
      <c r="B11" s="113">
        <f>INDEX('W-BT Mielies'!K9:M14,MATCH($B$15,Obrengspeil,0),2)</f>
        <v>8977.48155171505</v>
      </c>
      <c r="C11" s="114"/>
      <c r="D11" s="115"/>
      <c r="E11" s="116"/>
      <c r="F11" s="117"/>
      <c r="G11" s="118"/>
      <c r="H11" s="117"/>
      <c r="I11" s="117"/>
      <c r="J11" s="117" t="s">
        <v>11</v>
      </c>
      <c r="K11" s="119"/>
      <c r="L11" s="117"/>
      <c r="M11" s="119"/>
      <c r="N11" s="117"/>
      <c r="P11" s="115"/>
      <c r="Q11" s="116"/>
      <c r="R11" s="117"/>
      <c r="S11" s="118"/>
      <c r="T11" s="117"/>
      <c r="U11" s="117"/>
      <c r="V11" s="117" t="s">
        <v>11</v>
      </c>
      <c r="W11" s="119"/>
      <c r="X11" s="117"/>
      <c r="Y11" s="119"/>
      <c r="Z11" s="117"/>
    </row>
    <row r="12" spans="1:26" ht="13.5" customHeight="1" thickBot="1">
      <c r="A12" s="120" t="s">
        <v>12</v>
      </c>
      <c r="B12" s="113">
        <f>INDEX('W-BT Mielies'!K9:M14,MATCH($B$15,Obrengspeil,0),3)</f>
        <v>2369.2414333666666</v>
      </c>
      <c r="C12" s="114"/>
      <c r="D12" s="218" t="s">
        <v>13</v>
      </c>
      <c r="E12" s="219"/>
      <c r="F12" s="121">
        <f>G12-250</f>
        <v>1700</v>
      </c>
      <c r="G12" s="121">
        <f>H12-250</f>
        <v>1950</v>
      </c>
      <c r="H12" s="121">
        <f>I12-250</f>
        <v>2200</v>
      </c>
      <c r="I12" s="121">
        <f>J12-250</f>
        <v>2450</v>
      </c>
      <c r="J12" s="122">
        <f>B17</f>
        <v>2700</v>
      </c>
      <c r="K12" s="121">
        <f>J12+250</f>
        <v>2950</v>
      </c>
      <c r="L12" s="121">
        <f>K12+250</f>
        <v>3200</v>
      </c>
      <c r="M12" s="121">
        <f>L12+250</f>
        <v>3450</v>
      </c>
      <c r="N12" s="121">
        <f>M12+250</f>
        <v>3700</v>
      </c>
      <c r="P12" s="218" t="s">
        <v>13</v>
      </c>
      <c r="Q12" s="219"/>
      <c r="R12" s="123">
        <f>S12-250</f>
        <v>1700</v>
      </c>
      <c r="S12" s="123">
        <f>T12-250</f>
        <v>1950</v>
      </c>
      <c r="T12" s="123">
        <f>U12-250</f>
        <v>2200</v>
      </c>
      <c r="U12" s="123">
        <f>V12-250</f>
        <v>2450</v>
      </c>
      <c r="V12" s="124">
        <f>J12</f>
        <v>2700</v>
      </c>
      <c r="W12" s="123">
        <f>V12+250</f>
        <v>2950</v>
      </c>
      <c r="X12" s="123">
        <f>W12+250</f>
        <v>3200</v>
      </c>
      <c r="Y12" s="123">
        <f>X12+250</f>
        <v>3450</v>
      </c>
      <c r="Z12" s="123">
        <f>Y12+250</f>
        <v>3700</v>
      </c>
    </row>
    <row r="13" spans="1:26" ht="13.5" customHeight="1" thickBot="1">
      <c r="A13" s="125" t="s">
        <v>14</v>
      </c>
      <c r="B13" s="126">
        <f>B12+B11</f>
        <v>11346.722985081717</v>
      </c>
      <c r="C13" s="127"/>
      <c r="D13" s="220" t="s">
        <v>15</v>
      </c>
      <c r="E13" s="221"/>
      <c r="F13" s="128">
        <f aca="true" t="shared" si="0" ref="F13:N13">F12-$B$18</f>
        <v>1422</v>
      </c>
      <c r="G13" s="128">
        <f t="shared" si="0"/>
        <v>1672</v>
      </c>
      <c r="H13" s="128">
        <f t="shared" si="0"/>
        <v>1922</v>
      </c>
      <c r="I13" s="128">
        <f t="shared" si="0"/>
        <v>2172</v>
      </c>
      <c r="J13" s="129">
        <f t="shared" si="0"/>
        <v>2422</v>
      </c>
      <c r="K13" s="128">
        <f t="shared" si="0"/>
        <v>2672</v>
      </c>
      <c r="L13" s="128">
        <f t="shared" si="0"/>
        <v>2922</v>
      </c>
      <c r="M13" s="128">
        <f t="shared" si="0"/>
        <v>3172</v>
      </c>
      <c r="N13" s="128">
        <f t="shared" si="0"/>
        <v>3422</v>
      </c>
      <c r="P13" s="220" t="s">
        <v>15</v>
      </c>
      <c r="Q13" s="221"/>
      <c r="R13" s="128">
        <f aca="true" t="shared" si="1" ref="R13:Z13">R12-$B$18</f>
        <v>1422</v>
      </c>
      <c r="S13" s="128">
        <f t="shared" si="1"/>
        <v>1672</v>
      </c>
      <c r="T13" s="128">
        <f t="shared" si="1"/>
        <v>1922</v>
      </c>
      <c r="U13" s="128">
        <f t="shared" si="1"/>
        <v>2172</v>
      </c>
      <c r="V13" s="130">
        <f t="shared" si="1"/>
        <v>2422</v>
      </c>
      <c r="W13" s="128">
        <f t="shared" si="1"/>
        <v>2672</v>
      </c>
      <c r="X13" s="128">
        <f t="shared" si="1"/>
        <v>2922</v>
      </c>
      <c r="Y13" s="128">
        <f t="shared" si="1"/>
        <v>3172</v>
      </c>
      <c r="Z13" s="128">
        <f t="shared" si="1"/>
        <v>3422</v>
      </c>
    </row>
    <row r="14" spans="1:26" ht="13.5" customHeight="1" thickBot="1">
      <c r="A14" s="131"/>
      <c r="B14" s="132"/>
      <c r="C14" s="114"/>
      <c r="D14" s="223" t="s">
        <v>16</v>
      </c>
      <c r="E14" s="133">
        <f>E15-0.5</f>
        <v>3.5</v>
      </c>
      <c r="F14" s="134">
        <f aca="true" t="shared" si="2" ref="F14:N18">F$13-($B$13/$E14)</f>
        <v>-1819.9208528804907</v>
      </c>
      <c r="G14" s="135">
        <f t="shared" si="2"/>
        <v>-1569.9208528804907</v>
      </c>
      <c r="H14" s="135">
        <f t="shared" si="2"/>
        <v>-1319.9208528804907</v>
      </c>
      <c r="I14" s="135">
        <f t="shared" si="2"/>
        <v>-1069.9208528804907</v>
      </c>
      <c r="J14" s="135">
        <f t="shared" si="2"/>
        <v>-819.9208528804907</v>
      </c>
      <c r="K14" s="135">
        <f t="shared" si="2"/>
        <v>-569.9208528804907</v>
      </c>
      <c r="L14" s="135">
        <f t="shared" si="2"/>
        <v>-319.92085288049066</v>
      </c>
      <c r="M14" s="136">
        <f t="shared" si="2"/>
        <v>-69.92085288049066</v>
      </c>
      <c r="N14" s="137">
        <f t="shared" si="2"/>
        <v>180.07914711950934</v>
      </c>
      <c r="P14" s="223" t="s">
        <v>16</v>
      </c>
      <c r="Q14" s="133">
        <f>Q15-0.5</f>
        <v>3.5</v>
      </c>
      <c r="R14" s="134">
        <f>R$13-($B$11/$E14)</f>
        <v>-1142.9947290614427</v>
      </c>
      <c r="S14" s="134">
        <f aca="true" t="shared" si="3" ref="S14:Z18">S$13-($B$11/$E14)</f>
        <v>-892.9947290614427</v>
      </c>
      <c r="T14" s="134">
        <f t="shared" si="3"/>
        <v>-642.9947290614427</v>
      </c>
      <c r="U14" s="134">
        <f t="shared" si="3"/>
        <v>-392.99472906144274</v>
      </c>
      <c r="V14" s="134">
        <f t="shared" si="3"/>
        <v>-142.99472906144274</v>
      </c>
      <c r="W14" s="134">
        <f t="shared" si="3"/>
        <v>107.00527093855726</v>
      </c>
      <c r="X14" s="134">
        <f t="shared" si="3"/>
        <v>357.00527093855726</v>
      </c>
      <c r="Y14" s="134">
        <f t="shared" si="3"/>
        <v>607.0052709385573</v>
      </c>
      <c r="Z14" s="134">
        <f t="shared" si="3"/>
        <v>857.0052709385573</v>
      </c>
    </row>
    <row r="15" spans="1:26" ht="13.5" customHeight="1" thickBot="1">
      <c r="A15" s="138" t="s">
        <v>17</v>
      </c>
      <c r="B15" s="257">
        <v>4.5</v>
      </c>
      <c r="C15" s="114"/>
      <c r="D15" s="224"/>
      <c r="E15" s="133">
        <f>E16-0.5</f>
        <v>4</v>
      </c>
      <c r="F15" s="139">
        <f t="shared" si="2"/>
        <v>-1414.6807462704292</v>
      </c>
      <c r="G15" s="140">
        <f t="shared" si="2"/>
        <v>-1164.6807462704292</v>
      </c>
      <c r="H15" s="140">
        <f t="shared" si="2"/>
        <v>-914.6807462704292</v>
      </c>
      <c r="I15" s="140">
        <f t="shared" si="2"/>
        <v>-664.6807462704292</v>
      </c>
      <c r="J15" s="140">
        <f t="shared" si="2"/>
        <v>-414.68074627042915</v>
      </c>
      <c r="K15" s="141">
        <f t="shared" si="2"/>
        <v>-164.68074627042915</v>
      </c>
      <c r="L15" s="141">
        <f t="shared" si="2"/>
        <v>85.31925372957085</v>
      </c>
      <c r="M15" s="141">
        <f t="shared" si="2"/>
        <v>335.31925372957085</v>
      </c>
      <c r="N15" s="142">
        <f t="shared" si="2"/>
        <v>585.3192537295708</v>
      </c>
      <c r="P15" s="224"/>
      <c r="Q15" s="133">
        <f>Q16-0.5</f>
        <v>4</v>
      </c>
      <c r="R15" s="134">
        <f>R$13-($B$11/$E15)</f>
        <v>-822.3703879287623</v>
      </c>
      <c r="S15" s="134">
        <f t="shared" si="3"/>
        <v>-572.3703879287623</v>
      </c>
      <c r="T15" s="134">
        <f t="shared" si="3"/>
        <v>-322.3703879287623</v>
      </c>
      <c r="U15" s="134">
        <f t="shared" si="3"/>
        <v>-72.37038792876228</v>
      </c>
      <c r="V15" s="134">
        <f t="shared" si="3"/>
        <v>177.62961207123772</v>
      </c>
      <c r="W15" s="134">
        <f t="shared" si="3"/>
        <v>427.6296120712377</v>
      </c>
      <c r="X15" s="134">
        <f t="shared" si="3"/>
        <v>677.6296120712377</v>
      </c>
      <c r="Y15" s="134">
        <f t="shared" si="3"/>
        <v>927.6296120712377</v>
      </c>
      <c r="Z15" s="134">
        <f t="shared" si="3"/>
        <v>1177.6296120712377</v>
      </c>
    </row>
    <row r="16" spans="1:26" ht="13.5" customHeight="1" thickBot="1">
      <c r="A16" s="131"/>
      <c r="B16" s="132"/>
      <c r="C16" s="114"/>
      <c r="D16" s="224"/>
      <c r="E16" s="143">
        <f>B15</f>
        <v>4.5</v>
      </c>
      <c r="F16" s="139">
        <f t="shared" si="2"/>
        <v>-1099.493996684826</v>
      </c>
      <c r="G16" s="140">
        <f t="shared" si="2"/>
        <v>-849.493996684826</v>
      </c>
      <c r="H16" s="140">
        <f t="shared" si="2"/>
        <v>-599.493996684826</v>
      </c>
      <c r="I16" s="140">
        <f t="shared" si="2"/>
        <v>-349.493996684826</v>
      </c>
      <c r="J16" s="141">
        <f t="shared" si="2"/>
        <v>-99.49399668482602</v>
      </c>
      <c r="K16" s="141">
        <f t="shared" si="2"/>
        <v>150.50600331517398</v>
      </c>
      <c r="L16" s="141">
        <f t="shared" si="2"/>
        <v>400.506003315174</v>
      </c>
      <c r="M16" s="141">
        <f t="shared" si="2"/>
        <v>650.506003315174</v>
      </c>
      <c r="N16" s="142">
        <f t="shared" si="2"/>
        <v>900.506003315174</v>
      </c>
      <c r="P16" s="224"/>
      <c r="Q16" s="143">
        <f>E16</f>
        <v>4.5</v>
      </c>
      <c r="R16" s="134">
        <f>R$13-($B$11/$E16)</f>
        <v>-572.995900381122</v>
      </c>
      <c r="S16" s="134">
        <f t="shared" si="3"/>
        <v>-322.99590038112206</v>
      </c>
      <c r="T16" s="134">
        <f t="shared" si="3"/>
        <v>-72.99590038112206</v>
      </c>
      <c r="U16" s="134">
        <f t="shared" si="3"/>
        <v>177.00409961887794</v>
      </c>
      <c r="V16" s="134">
        <f t="shared" si="3"/>
        <v>427.00409961887794</v>
      </c>
      <c r="W16" s="134">
        <f t="shared" si="3"/>
        <v>677.004099618878</v>
      </c>
      <c r="X16" s="134">
        <f t="shared" si="3"/>
        <v>927.004099618878</v>
      </c>
      <c r="Y16" s="134">
        <f t="shared" si="3"/>
        <v>1177.004099618878</v>
      </c>
      <c r="Z16" s="134">
        <f t="shared" si="3"/>
        <v>1427.004099618878</v>
      </c>
    </row>
    <row r="17" spans="1:26" ht="13.5" customHeight="1" thickBot="1">
      <c r="A17" s="144" t="s">
        <v>18</v>
      </c>
      <c r="B17" s="145">
        <f>$B$4</f>
        <v>2700</v>
      </c>
      <c r="C17" s="114"/>
      <c r="D17" s="224"/>
      <c r="E17" s="133">
        <f>E16+0.5</f>
        <v>5</v>
      </c>
      <c r="F17" s="139">
        <f t="shared" si="2"/>
        <v>-847.3445970163434</v>
      </c>
      <c r="G17" s="140">
        <f t="shared" si="2"/>
        <v>-597.3445970163434</v>
      </c>
      <c r="H17" s="140">
        <f t="shared" si="2"/>
        <v>-347.3445970163434</v>
      </c>
      <c r="I17" s="141">
        <f t="shared" si="2"/>
        <v>-97.34459701634341</v>
      </c>
      <c r="J17" s="141">
        <f t="shared" si="2"/>
        <v>152.6554029836566</v>
      </c>
      <c r="K17" s="141">
        <f t="shared" si="2"/>
        <v>402.6554029836566</v>
      </c>
      <c r="L17" s="141">
        <f t="shared" si="2"/>
        <v>652.6554029836566</v>
      </c>
      <c r="M17" s="141">
        <f t="shared" si="2"/>
        <v>902.6554029836566</v>
      </c>
      <c r="N17" s="142">
        <f t="shared" si="2"/>
        <v>1152.6554029836566</v>
      </c>
      <c r="P17" s="224"/>
      <c r="Q17" s="133">
        <f>Q16+0.5</f>
        <v>5</v>
      </c>
      <c r="R17" s="134">
        <f>R$13-($B$11/$E17)</f>
        <v>-373.4963103430098</v>
      </c>
      <c r="S17" s="134">
        <f t="shared" si="3"/>
        <v>-123.49631034300978</v>
      </c>
      <c r="T17" s="134">
        <f t="shared" si="3"/>
        <v>126.50368965699022</v>
      </c>
      <c r="U17" s="134">
        <f t="shared" si="3"/>
        <v>376.5036896569902</v>
      </c>
      <c r="V17" s="134">
        <f t="shared" si="3"/>
        <v>626.5036896569902</v>
      </c>
      <c r="W17" s="134">
        <f t="shared" si="3"/>
        <v>876.5036896569902</v>
      </c>
      <c r="X17" s="134">
        <f t="shared" si="3"/>
        <v>1126.5036896569902</v>
      </c>
      <c r="Y17" s="134">
        <f t="shared" si="3"/>
        <v>1376.5036896569902</v>
      </c>
      <c r="Z17" s="134">
        <f t="shared" si="3"/>
        <v>1626.5036896569902</v>
      </c>
    </row>
    <row r="18" spans="1:26" ht="13.5" customHeight="1" thickBot="1">
      <c r="A18" s="146" t="s">
        <v>19</v>
      </c>
      <c r="B18" s="145">
        <f>D4</f>
        <v>278</v>
      </c>
      <c r="C18" s="114"/>
      <c r="D18" s="225"/>
      <c r="E18" s="133">
        <f>E17+0.5</f>
        <v>5.5</v>
      </c>
      <c r="F18" s="147">
        <f>F$13-($B$13/$E18)</f>
        <v>-641.0405427421301</v>
      </c>
      <c r="G18" s="148">
        <f>G$13-($B$13/$E18)</f>
        <v>-391.0405427421301</v>
      </c>
      <c r="H18" s="149">
        <f t="shared" si="2"/>
        <v>-141.04054274213013</v>
      </c>
      <c r="I18" s="149">
        <f t="shared" si="2"/>
        <v>108.95945725786987</v>
      </c>
      <c r="J18" s="149">
        <f t="shared" si="2"/>
        <v>358.9594572578699</v>
      </c>
      <c r="K18" s="149">
        <f t="shared" si="2"/>
        <v>608.9594572578699</v>
      </c>
      <c r="L18" s="149">
        <f t="shared" si="2"/>
        <v>858.9594572578699</v>
      </c>
      <c r="M18" s="149">
        <f t="shared" si="2"/>
        <v>1108.9594572578699</v>
      </c>
      <c r="N18" s="150">
        <f t="shared" si="2"/>
        <v>1358.9594572578699</v>
      </c>
      <c r="P18" s="225"/>
      <c r="Q18" s="133">
        <f>Q17+0.5</f>
        <v>5.5</v>
      </c>
      <c r="R18" s="134">
        <f>R$13-($B$11/$E18)</f>
        <v>-210.26937303909995</v>
      </c>
      <c r="S18" s="134">
        <f>S$13-($B$11/$E18)</f>
        <v>39.730626960900054</v>
      </c>
      <c r="T18" s="134">
        <f t="shared" si="3"/>
        <v>289.73062696090005</v>
      </c>
      <c r="U18" s="134">
        <f t="shared" si="3"/>
        <v>539.7306269609</v>
      </c>
      <c r="V18" s="134">
        <f t="shared" si="3"/>
        <v>789.7306269609</v>
      </c>
      <c r="W18" s="134">
        <f t="shared" si="3"/>
        <v>1039.7306269609</v>
      </c>
      <c r="X18" s="134">
        <f t="shared" si="3"/>
        <v>1289.7306269609</v>
      </c>
      <c r="Y18" s="134">
        <f t="shared" si="3"/>
        <v>1539.7306269609</v>
      </c>
      <c r="Z18" s="134">
        <f t="shared" si="3"/>
        <v>1789.7306269609</v>
      </c>
    </row>
    <row r="19" spans="1:24" ht="13.5" customHeight="1" thickBot="1">
      <c r="A19" s="151" t="s">
        <v>20</v>
      </c>
      <c r="B19" s="152">
        <f>B17-B18</f>
        <v>2422</v>
      </c>
      <c r="C19" s="114"/>
      <c r="D19" s="153"/>
      <c r="E19" s="154"/>
      <c r="F19" s="155"/>
      <c r="G19" s="155"/>
      <c r="H19" s="155"/>
      <c r="I19" s="155"/>
      <c r="J19" s="155"/>
      <c r="K19" s="155"/>
      <c r="L19" s="155"/>
      <c r="P19" s="153"/>
      <c r="Q19" s="154"/>
      <c r="R19" s="155"/>
      <c r="S19" s="155"/>
      <c r="T19" s="155"/>
      <c r="U19" s="155"/>
      <c r="V19" s="155"/>
      <c r="W19" s="155"/>
      <c r="X19" s="155"/>
    </row>
    <row r="20" spans="1:24" s="107" customFormat="1" ht="13.5" customHeight="1">
      <c r="A20" s="156"/>
      <c r="B20" s="157"/>
      <c r="C20" s="158"/>
      <c r="D20" s="159"/>
      <c r="E20" s="160"/>
      <c r="F20" s="155"/>
      <c r="G20" s="155"/>
      <c r="H20" s="155"/>
      <c r="I20" s="155"/>
      <c r="J20" s="155"/>
      <c r="K20" s="155"/>
      <c r="L20" s="155"/>
      <c r="P20" s="159"/>
      <c r="Q20" s="160"/>
      <c r="R20" s="155"/>
      <c r="S20" s="155"/>
      <c r="T20" s="155"/>
      <c r="U20" s="155"/>
      <c r="V20" s="155"/>
      <c r="W20" s="155"/>
      <c r="X20" s="155"/>
    </row>
    <row r="21" spans="1:24" s="107" customFormat="1" ht="13.5" customHeight="1">
      <c r="A21" s="156"/>
      <c r="B21" s="157"/>
      <c r="C21" s="158"/>
      <c r="D21" s="159"/>
      <c r="E21" s="160"/>
      <c r="F21" s="155"/>
      <c r="G21" s="155"/>
      <c r="H21" s="155"/>
      <c r="I21" s="155"/>
      <c r="J21" s="155"/>
      <c r="K21" s="155"/>
      <c r="L21" s="155"/>
      <c r="P21" s="159"/>
      <c r="Q21" s="160"/>
      <c r="R21" s="155"/>
      <c r="S21" s="155"/>
      <c r="T21" s="155"/>
      <c r="U21" s="155"/>
      <c r="V21" s="155"/>
      <c r="W21" s="155"/>
      <c r="X21" s="155"/>
    </row>
    <row r="22" spans="1:24" ht="13.5" customHeight="1" thickBot="1">
      <c r="A22" s="217" t="s">
        <v>81</v>
      </c>
      <c r="B22" s="217"/>
      <c r="D22" s="153"/>
      <c r="E22" s="154"/>
      <c r="F22" s="155"/>
      <c r="G22" s="155"/>
      <c r="H22" s="155"/>
      <c r="I22" s="155"/>
      <c r="J22" s="155"/>
      <c r="K22" s="155"/>
      <c r="L22" s="155"/>
      <c r="P22" s="153"/>
      <c r="Q22" s="154"/>
      <c r="R22" s="155"/>
      <c r="S22" s="155"/>
      <c r="T22" s="155"/>
      <c r="U22" s="155"/>
      <c r="V22" s="155"/>
      <c r="W22" s="155"/>
      <c r="X22" s="155"/>
    </row>
    <row r="23" spans="1:26" ht="18.75" customHeight="1" thickBot="1">
      <c r="A23" s="109" t="s">
        <v>21</v>
      </c>
      <c r="B23" s="110"/>
      <c r="C23" s="111"/>
      <c r="D23" s="218" t="s">
        <v>22</v>
      </c>
      <c r="E23" s="222"/>
      <c r="F23" s="222"/>
      <c r="G23" s="222"/>
      <c r="H23" s="222"/>
      <c r="I23" s="222"/>
      <c r="J23" s="222"/>
      <c r="K23" s="222"/>
      <c r="L23" s="222"/>
      <c r="M23" s="222"/>
      <c r="N23" s="219"/>
      <c r="P23" s="218" t="s">
        <v>23</v>
      </c>
      <c r="Q23" s="222"/>
      <c r="R23" s="222"/>
      <c r="S23" s="222"/>
      <c r="T23" s="222"/>
      <c r="U23" s="222"/>
      <c r="V23" s="222"/>
      <c r="W23" s="222"/>
      <c r="X23" s="222"/>
      <c r="Y23" s="222"/>
      <c r="Z23" s="219"/>
    </row>
    <row r="24" spans="1:26" ht="13.5" customHeight="1" thickBot="1">
      <c r="A24" s="112" t="s">
        <v>10</v>
      </c>
      <c r="B24" s="113">
        <f>INDEX(Sonneblom!K9:M13,MATCH($B$28,Sonopbrengspeil,0),2)</f>
        <v>4918.719940317461</v>
      </c>
      <c r="C24" s="114"/>
      <c r="D24" s="115"/>
      <c r="E24" s="116"/>
      <c r="F24" s="117"/>
      <c r="G24" s="118"/>
      <c r="H24" s="117"/>
      <c r="I24" s="117"/>
      <c r="J24" s="117" t="s">
        <v>11</v>
      </c>
      <c r="K24" s="119"/>
      <c r="L24" s="117"/>
      <c r="M24" s="119"/>
      <c r="N24" s="117"/>
      <c r="P24" s="115"/>
      <c r="Q24" s="116"/>
      <c r="R24" s="117"/>
      <c r="S24" s="118"/>
      <c r="T24" s="117"/>
      <c r="U24" s="117"/>
      <c r="V24" s="117" t="s">
        <v>11</v>
      </c>
      <c r="W24" s="119"/>
      <c r="X24" s="117"/>
      <c r="Y24" s="119"/>
      <c r="Z24" s="117"/>
    </row>
    <row r="25" spans="1:26" ht="13.5" customHeight="1" thickBot="1">
      <c r="A25" s="120" t="s">
        <v>12</v>
      </c>
      <c r="B25" s="113">
        <f>INDEX(Sonneblom!K9:M13,MATCH($B$28,Sonopbrengspeil,0),3)</f>
        <v>1893.8644333666666</v>
      </c>
      <c r="C25" s="114"/>
      <c r="D25" s="218" t="s">
        <v>13</v>
      </c>
      <c r="E25" s="219"/>
      <c r="F25" s="161">
        <f>G25-200</f>
        <v>5200</v>
      </c>
      <c r="G25" s="161">
        <f>H25-200</f>
        <v>5400</v>
      </c>
      <c r="H25" s="161">
        <f>I25-200</f>
        <v>5600</v>
      </c>
      <c r="I25" s="162">
        <f>J25-200</f>
        <v>5800</v>
      </c>
      <c r="J25" s="163">
        <f>B30</f>
        <v>6000</v>
      </c>
      <c r="K25" s="162">
        <f>J25+200</f>
        <v>6200</v>
      </c>
      <c r="L25" s="162">
        <f>K25+200</f>
        <v>6400</v>
      </c>
      <c r="M25" s="162">
        <f>L25+200</f>
        <v>6600</v>
      </c>
      <c r="N25" s="162">
        <f>M25+200</f>
        <v>6800</v>
      </c>
      <c r="P25" s="218" t="s">
        <v>13</v>
      </c>
      <c r="Q25" s="219"/>
      <c r="R25" s="161">
        <f>S25-200</f>
        <v>5200</v>
      </c>
      <c r="S25" s="161">
        <f>T25-200</f>
        <v>5400</v>
      </c>
      <c r="T25" s="161">
        <f>U25-200</f>
        <v>5600</v>
      </c>
      <c r="U25" s="162">
        <f>V25-200</f>
        <v>5800</v>
      </c>
      <c r="V25" s="163">
        <f>J25</f>
        <v>6000</v>
      </c>
      <c r="W25" s="162">
        <f>V25+200</f>
        <v>6200</v>
      </c>
      <c r="X25" s="162">
        <f>W25+200</f>
        <v>6400</v>
      </c>
      <c r="Y25" s="162">
        <f>X25+200</f>
        <v>6600</v>
      </c>
      <c r="Z25" s="162">
        <f>Y25+200</f>
        <v>6800</v>
      </c>
    </row>
    <row r="26" spans="1:26" ht="13.5" customHeight="1" thickBot="1">
      <c r="A26" s="125" t="s">
        <v>14</v>
      </c>
      <c r="B26" s="126">
        <f>B25+B24</f>
        <v>6812.584373684127</v>
      </c>
      <c r="C26" s="127"/>
      <c r="D26" s="220" t="s">
        <v>15</v>
      </c>
      <c r="E26" s="221"/>
      <c r="F26" s="164">
        <f aca="true" t="shared" si="4" ref="F26:N26">F25-$B$31</f>
        <v>4838</v>
      </c>
      <c r="G26" s="164">
        <f t="shared" si="4"/>
        <v>5038</v>
      </c>
      <c r="H26" s="164">
        <f t="shared" si="4"/>
        <v>5238</v>
      </c>
      <c r="I26" s="164">
        <f t="shared" si="4"/>
        <v>5438</v>
      </c>
      <c r="J26" s="165">
        <f t="shared" si="4"/>
        <v>5638</v>
      </c>
      <c r="K26" s="164">
        <f t="shared" si="4"/>
        <v>5838</v>
      </c>
      <c r="L26" s="164">
        <f t="shared" si="4"/>
        <v>6038</v>
      </c>
      <c r="M26" s="164">
        <f t="shared" si="4"/>
        <v>6238</v>
      </c>
      <c r="N26" s="164">
        <f t="shared" si="4"/>
        <v>6438</v>
      </c>
      <c r="P26" s="220" t="s">
        <v>15</v>
      </c>
      <c r="Q26" s="221"/>
      <c r="R26" s="164">
        <f aca="true" t="shared" si="5" ref="R26:Z26">R25-$B$31</f>
        <v>4838</v>
      </c>
      <c r="S26" s="164">
        <f t="shared" si="5"/>
        <v>5038</v>
      </c>
      <c r="T26" s="164">
        <f t="shared" si="5"/>
        <v>5238</v>
      </c>
      <c r="U26" s="164">
        <f t="shared" si="5"/>
        <v>5438</v>
      </c>
      <c r="V26" s="165">
        <f t="shared" si="5"/>
        <v>5638</v>
      </c>
      <c r="W26" s="164">
        <f t="shared" si="5"/>
        <v>5838</v>
      </c>
      <c r="X26" s="164">
        <f t="shared" si="5"/>
        <v>6038</v>
      </c>
      <c r="Y26" s="164">
        <f t="shared" si="5"/>
        <v>6238</v>
      </c>
      <c r="Z26" s="164">
        <f t="shared" si="5"/>
        <v>6438</v>
      </c>
    </row>
    <row r="27" spans="1:26" ht="13.5" customHeight="1" thickBot="1">
      <c r="A27" s="131"/>
      <c r="B27" s="132"/>
      <c r="C27" s="114"/>
      <c r="D27" s="223" t="s">
        <v>16</v>
      </c>
      <c r="E27" s="133">
        <f>E28-0.25</f>
        <v>1.25</v>
      </c>
      <c r="F27" s="134">
        <f aca="true" t="shared" si="6" ref="F27:N31">F$26-($B$26/$E27)</f>
        <v>-612.0674989473018</v>
      </c>
      <c r="G27" s="134">
        <f t="shared" si="6"/>
        <v>-412.06749894730183</v>
      </c>
      <c r="H27" s="134">
        <f t="shared" si="6"/>
        <v>-212.06749894730183</v>
      </c>
      <c r="I27" s="134">
        <f t="shared" si="6"/>
        <v>-12.067498947301829</v>
      </c>
      <c r="J27" s="134">
        <f t="shared" si="6"/>
        <v>187.93250105269817</v>
      </c>
      <c r="K27" s="134">
        <f t="shared" si="6"/>
        <v>387.93250105269817</v>
      </c>
      <c r="L27" s="134">
        <f t="shared" si="6"/>
        <v>587.9325010526982</v>
      </c>
      <c r="M27" s="134">
        <f t="shared" si="6"/>
        <v>787.9325010526982</v>
      </c>
      <c r="N27" s="134">
        <f t="shared" si="6"/>
        <v>987.9325010526982</v>
      </c>
      <c r="P27" s="223" t="s">
        <v>16</v>
      </c>
      <c r="Q27" s="133">
        <f>Q28-0.25</f>
        <v>1.25</v>
      </c>
      <c r="R27" s="134">
        <f aca="true" t="shared" si="7" ref="R27:Z31">R$26-($B$24/$E27)</f>
        <v>903.0240477460311</v>
      </c>
      <c r="S27" s="134">
        <f t="shared" si="7"/>
        <v>1103.024047746031</v>
      </c>
      <c r="T27" s="134">
        <f t="shared" si="7"/>
        <v>1303.024047746031</v>
      </c>
      <c r="U27" s="134">
        <f t="shared" si="7"/>
        <v>1503.024047746031</v>
      </c>
      <c r="V27" s="134">
        <f t="shared" si="7"/>
        <v>1703.024047746031</v>
      </c>
      <c r="W27" s="134">
        <f t="shared" si="7"/>
        <v>1903.024047746031</v>
      </c>
      <c r="X27" s="134">
        <f t="shared" si="7"/>
        <v>2103.024047746031</v>
      </c>
      <c r="Y27" s="134">
        <f t="shared" si="7"/>
        <v>2303.024047746031</v>
      </c>
      <c r="Z27" s="134">
        <f t="shared" si="7"/>
        <v>2503.024047746031</v>
      </c>
    </row>
    <row r="28" spans="1:26" ht="13.5" customHeight="1" thickBot="1">
      <c r="A28" s="138" t="s">
        <v>17</v>
      </c>
      <c r="B28" s="257">
        <f>Sonneblom!G5</f>
        <v>1.75</v>
      </c>
      <c r="C28" s="114"/>
      <c r="D28" s="224"/>
      <c r="E28" s="133">
        <f>E29-0.25</f>
        <v>1.5</v>
      </c>
      <c r="F28" s="134">
        <f t="shared" si="6"/>
        <v>296.27708421058196</v>
      </c>
      <c r="G28" s="134">
        <f t="shared" si="6"/>
        <v>496.27708421058196</v>
      </c>
      <c r="H28" s="134">
        <f t="shared" si="6"/>
        <v>696.277084210582</v>
      </c>
      <c r="I28" s="134">
        <f t="shared" si="6"/>
        <v>896.277084210582</v>
      </c>
      <c r="J28" s="134">
        <f t="shared" si="6"/>
        <v>1096.277084210582</v>
      </c>
      <c r="K28" s="134">
        <f t="shared" si="6"/>
        <v>1296.277084210582</v>
      </c>
      <c r="L28" s="134">
        <f t="shared" si="6"/>
        <v>1496.277084210582</v>
      </c>
      <c r="M28" s="134">
        <f t="shared" si="6"/>
        <v>1696.277084210582</v>
      </c>
      <c r="N28" s="134">
        <f t="shared" si="6"/>
        <v>1896.277084210582</v>
      </c>
      <c r="P28" s="224"/>
      <c r="Q28" s="133">
        <f>Q29-0.25</f>
        <v>1.5</v>
      </c>
      <c r="R28" s="134">
        <f t="shared" si="7"/>
        <v>1558.8533731216926</v>
      </c>
      <c r="S28" s="134">
        <f t="shared" si="7"/>
        <v>1758.8533731216926</v>
      </c>
      <c r="T28" s="134">
        <f t="shared" si="7"/>
        <v>1958.8533731216926</v>
      </c>
      <c r="U28" s="134">
        <f t="shared" si="7"/>
        <v>2158.8533731216926</v>
      </c>
      <c r="V28" s="134">
        <f t="shared" si="7"/>
        <v>2358.8533731216926</v>
      </c>
      <c r="W28" s="134">
        <f t="shared" si="7"/>
        <v>2558.8533731216926</v>
      </c>
      <c r="X28" s="134">
        <f t="shared" si="7"/>
        <v>2758.8533731216926</v>
      </c>
      <c r="Y28" s="134">
        <f t="shared" si="7"/>
        <v>2958.8533731216926</v>
      </c>
      <c r="Z28" s="134">
        <f t="shared" si="7"/>
        <v>3158.8533731216926</v>
      </c>
    </row>
    <row r="29" spans="1:26" ht="13.5" customHeight="1" thickBot="1">
      <c r="A29" s="131"/>
      <c r="B29" s="132"/>
      <c r="C29" s="114"/>
      <c r="D29" s="224"/>
      <c r="E29" s="143">
        <f>B28</f>
        <v>1.75</v>
      </c>
      <c r="F29" s="134">
        <f t="shared" si="6"/>
        <v>945.0946436090703</v>
      </c>
      <c r="G29" s="134">
        <f t="shared" si="6"/>
        <v>1145.0946436090703</v>
      </c>
      <c r="H29" s="134">
        <f t="shared" si="6"/>
        <v>1345.0946436090703</v>
      </c>
      <c r="I29" s="134">
        <f t="shared" si="6"/>
        <v>1545.0946436090703</v>
      </c>
      <c r="J29" s="134">
        <f t="shared" si="6"/>
        <v>1745.0946436090703</v>
      </c>
      <c r="K29" s="134">
        <f t="shared" si="6"/>
        <v>1945.0946436090703</v>
      </c>
      <c r="L29" s="134">
        <f t="shared" si="6"/>
        <v>2145.0946436090703</v>
      </c>
      <c r="M29" s="134">
        <f t="shared" si="6"/>
        <v>2345.0946436090703</v>
      </c>
      <c r="N29" s="134">
        <f t="shared" si="6"/>
        <v>2545.0946436090703</v>
      </c>
      <c r="P29" s="224"/>
      <c r="Q29" s="143">
        <f>E29</f>
        <v>1.75</v>
      </c>
      <c r="R29" s="134">
        <f t="shared" si="7"/>
        <v>2027.302891247165</v>
      </c>
      <c r="S29" s="134">
        <f t="shared" si="7"/>
        <v>2227.302891247165</v>
      </c>
      <c r="T29" s="134">
        <f t="shared" si="7"/>
        <v>2427.302891247165</v>
      </c>
      <c r="U29" s="134">
        <f t="shared" si="7"/>
        <v>2627.302891247165</v>
      </c>
      <c r="V29" s="134">
        <f t="shared" si="7"/>
        <v>2827.302891247165</v>
      </c>
      <c r="W29" s="134">
        <f t="shared" si="7"/>
        <v>3027.302891247165</v>
      </c>
      <c r="X29" s="134">
        <f t="shared" si="7"/>
        <v>3227.302891247165</v>
      </c>
      <c r="Y29" s="134">
        <f t="shared" si="7"/>
        <v>3427.302891247165</v>
      </c>
      <c r="Z29" s="134">
        <f t="shared" si="7"/>
        <v>3627.302891247165</v>
      </c>
    </row>
    <row r="30" spans="1:26" ht="13.5" customHeight="1" thickBot="1">
      <c r="A30" s="144" t="s">
        <v>29</v>
      </c>
      <c r="B30" s="145">
        <f>B5</f>
        <v>6000</v>
      </c>
      <c r="C30" s="114"/>
      <c r="D30" s="224"/>
      <c r="E30" s="133">
        <f>E29+0.25</f>
        <v>2</v>
      </c>
      <c r="F30" s="134">
        <f t="shared" si="6"/>
        <v>1431.7078131579365</v>
      </c>
      <c r="G30" s="134">
        <f t="shared" si="6"/>
        <v>1631.7078131579365</v>
      </c>
      <c r="H30" s="134">
        <f t="shared" si="6"/>
        <v>1831.7078131579365</v>
      </c>
      <c r="I30" s="134">
        <f t="shared" si="6"/>
        <v>2031.7078131579365</v>
      </c>
      <c r="J30" s="134">
        <f t="shared" si="6"/>
        <v>2231.7078131579365</v>
      </c>
      <c r="K30" s="134">
        <f t="shared" si="6"/>
        <v>2431.7078131579365</v>
      </c>
      <c r="L30" s="134">
        <f t="shared" si="6"/>
        <v>2631.7078131579365</v>
      </c>
      <c r="M30" s="134">
        <f t="shared" si="6"/>
        <v>2831.7078131579365</v>
      </c>
      <c r="N30" s="134">
        <f t="shared" si="6"/>
        <v>3031.7078131579365</v>
      </c>
      <c r="P30" s="224"/>
      <c r="Q30" s="133">
        <f>Q29+0.25</f>
        <v>2</v>
      </c>
      <c r="R30" s="134">
        <f t="shared" si="7"/>
        <v>2378.6400298412696</v>
      </c>
      <c r="S30" s="134">
        <f t="shared" si="7"/>
        <v>2578.6400298412696</v>
      </c>
      <c r="T30" s="134">
        <f t="shared" si="7"/>
        <v>2778.6400298412696</v>
      </c>
      <c r="U30" s="134">
        <f t="shared" si="7"/>
        <v>2978.6400298412696</v>
      </c>
      <c r="V30" s="134">
        <f t="shared" si="7"/>
        <v>3178.6400298412696</v>
      </c>
      <c r="W30" s="134">
        <f t="shared" si="7"/>
        <v>3378.6400298412696</v>
      </c>
      <c r="X30" s="134">
        <f t="shared" si="7"/>
        <v>3578.6400298412696</v>
      </c>
      <c r="Y30" s="134">
        <f t="shared" si="7"/>
        <v>3778.6400298412696</v>
      </c>
      <c r="Z30" s="134">
        <f t="shared" si="7"/>
        <v>3978.6400298412696</v>
      </c>
    </row>
    <row r="31" spans="1:26" ht="13.5" customHeight="1" thickBot="1">
      <c r="A31" s="146" t="s">
        <v>19</v>
      </c>
      <c r="B31" s="145">
        <f>D5</f>
        <v>362</v>
      </c>
      <c r="C31" s="114"/>
      <c r="D31" s="225"/>
      <c r="E31" s="133">
        <f>E30+0.25</f>
        <v>2.25</v>
      </c>
      <c r="F31" s="134">
        <f>F$26-($B$26/$E31)</f>
        <v>1810.1847228070546</v>
      </c>
      <c r="G31" s="134">
        <f t="shared" si="6"/>
        <v>2010.1847228070546</v>
      </c>
      <c r="H31" s="134">
        <f t="shared" si="6"/>
        <v>2210.1847228070546</v>
      </c>
      <c r="I31" s="134">
        <f t="shared" si="6"/>
        <v>2410.1847228070546</v>
      </c>
      <c r="J31" s="134">
        <f t="shared" si="6"/>
        <v>2610.1847228070546</v>
      </c>
      <c r="K31" s="134">
        <f t="shared" si="6"/>
        <v>2810.1847228070546</v>
      </c>
      <c r="L31" s="134">
        <f t="shared" si="6"/>
        <v>3010.1847228070546</v>
      </c>
      <c r="M31" s="134">
        <f t="shared" si="6"/>
        <v>3210.1847228070546</v>
      </c>
      <c r="N31" s="134">
        <f t="shared" si="6"/>
        <v>3410.1847228070546</v>
      </c>
      <c r="P31" s="225"/>
      <c r="Q31" s="133">
        <f>Q30+0.25</f>
        <v>2.25</v>
      </c>
      <c r="R31" s="134">
        <f>R$26-($B$24/$E31)</f>
        <v>2651.902248747795</v>
      </c>
      <c r="S31" s="134">
        <f t="shared" si="7"/>
        <v>2851.902248747795</v>
      </c>
      <c r="T31" s="134">
        <f t="shared" si="7"/>
        <v>3051.902248747795</v>
      </c>
      <c r="U31" s="134">
        <f t="shared" si="7"/>
        <v>3251.902248747795</v>
      </c>
      <c r="V31" s="134">
        <f t="shared" si="7"/>
        <v>3451.902248747795</v>
      </c>
      <c r="W31" s="134">
        <f t="shared" si="7"/>
        <v>3651.902248747795</v>
      </c>
      <c r="X31" s="134">
        <f t="shared" si="7"/>
        <v>3851.902248747795</v>
      </c>
      <c r="Y31" s="134">
        <f t="shared" si="7"/>
        <v>4051.902248747795</v>
      </c>
      <c r="Z31" s="134">
        <f t="shared" si="7"/>
        <v>4251.902248747795</v>
      </c>
    </row>
    <row r="32" spans="1:24" ht="13.5" customHeight="1" thickBot="1">
      <c r="A32" s="151" t="s">
        <v>20</v>
      </c>
      <c r="B32" s="152">
        <f>B30-B31</f>
        <v>5638</v>
      </c>
      <c r="C32" s="114"/>
      <c r="D32" s="153"/>
      <c r="E32" s="154"/>
      <c r="F32" s="155"/>
      <c r="G32" s="155"/>
      <c r="H32" s="155"/>
      <c r="I32" s="155"/>
      <c r="J32" s="155"/>
      <c r="K32" s="155"/>
      <c r="L32" s="155"/>
      <c r="P32" s="153"/>
      <c r="Q32" s="154"/>
      <c r="R32" s="155"/>
      <c r="S32" s="155"/>
      <c r="T32" s="155"/>
      <c r="U32" s="155"/>
      <c r="V32" s="155"/>
      <c r="W32" s="155"/>
      <c r="X32" s="155"/>
    </row>
    <row r="33" spans="1:24" ht="13.5" customHeight="1">
      <c r="A33" s="156"/>
      <c r="B33" s="157"/>
      <c r="C33" s="114"/>
      <c r="D33" s="153"/>
      <c r="E33" s="154"/>
      <c r="F33" s="155"/>
      <c r="G33" s="155"/>
      <c r="H33" s="155"/>
      <c r="I33" s="155"/>
      <c r="J33" s="155"/>
      <c r="K33" s="155"/>
      <c r="L33" s="155"/>
      <c r="P33" s="153"/>
      <c r="Q33" s="154"/>
      <c r="R33" s="155"/>
      <c r="S33" s="155"/>
      <c r="T33" s="155"/>
      <c r="U33" s="155"/>
      <c r="V33" s="155"/>
      <c r="W33" s="155"/>
      <c r="X33" s="155"/>
    </row>
    <row r="34" spans="1:24" ht="13.5" customHeight="1">
      <c r="A34" s="107"/>
      <c r="B34" s="107"/>
      <c r="D34" s="153"/>
      <c r="E34" s="154"/>
      <c r="F34" s="155"/>
      <c r="G34" s="155"/>
      <c r="H34" s="155"/>
      <c r="I34" s="155"/>
      <c r="J34" s="155"/>
      <c r="K34" s="155"/>
      <c r="L34" s="155"/>
      <c r="P34" s="153"/>
      <c r="Q34" s="154"/>
      <c r="R34" s="155"/>
      <c r="S34" s="155"/>
      <c r="T34" s="155"/>
      <c r="U34" s="155"/>
      <c r="V34" s="155"/>
      <c r="W34" s="155"/>
      <c r="X34" s="155"/>
    </row>
    <row r="35" spans="1:2" ht="13.5" customHeight="1" thickBot="1">
      <c r="A35" s="217" t="s">
        <v>82</v>
      </c>
      <c r="B35" s="217"/>
    </row>
    <row r="36" spans="1:26" ht="19.5" customHeight="1" thickBot="1">
      <c r="A36" s="109" t="s">
        <v>24</v>
      </c>
      <c r="B36" s="110"/>
      <c r="C36" s="111"/>
      <c r="D36" s="218" t="s">
        <v>25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19"/>
      <c r="P36" s="218" t="s">
        <v>26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19"/>
    </row>
    <row r="37" spans="1:26" ht="13.5" customHeight="1" thickBot="1">
      <c r="A37" s="112" t="s">
        <v>10</v>
      </c>
      <c r="B37" s="113">
        <f>INDEX(Sojabone!K9:M12,MATCH($B$41,Sojaopbrengspeil,0),2)</f>
        <v>7344.1463812945685</v>
      </c>
      <c r="C37" s="166"/>
      <c r="D37" s="115"/>
      <c r="E37" s="116"/>
      <c r="F37" s="117"/>
      <c r="G37" s="118"/>
      <c r="H37" s="117"/>
      <c r="I37" s="117"/>
      <c r="J37" s="117" t="s">
        <v>27</v>
      </c>
      <c r="K37" s="119"/>
      <c r="L37" s="117"/>
      <c r="M37" s="119"/>
      <c r="N37" s="117"/>
      <c r="P37" s="115"/>
      <c r="Q37" s="116"/>
      <c r="R37" s="117"/>
      <c r="S37" s="118"/>
      <c r="T37" s="117"/>
      <c r="U37" s="117"/>
      <c r="V37" s="117" t="s">
        <v>27</v>
      </c>
      <c r="W37" s="119"/>
      <c r="X37" s="117"/>
      <c r="Y37" s="119"/>
      <c r="Z37" s="117"/>
    </row>
    <row r="38" spans="1:26" ht="13.5" customHeight="1" thickBot="1">
      <c r="A38" s="120" t="s">
        <v>12</v>
      </c>
      <c r="B38" s="113">
        <f>INDEX(Sojabone!K9:M12,MATCH($B$41,Sojaopbrengspeil,0),3)</f>
        <v>1761.994433366667</v>
      </c>
      <c r="C38" s="166"/>
      <c r="D38" s="218" t="s">
        <v>13</v>
      </c>
      <c r="E38" s="219"/>
      <c r="F38" s="123">
        <f>G38-200</f>
        <v>5400</v>
      </c>
      <c r="G38" s="123">
        <f>H38-200</f>
        <v>5600</v>
      </c>
      <c r="H38" s="123">
        <f>I38-200</f>
        <v>5800</v>
      </c>
      <c r="I38" s="123">
        <f>J38-200</f>
        <v>6000</v>
      </c>
      <c r="J38" s="122">
        <f>B43</f>
        <v>6200</v>
      </c>
      <c r="K38" s="123">
        <f>J38+200</f>
        <v>6400</v>
      </c>
      <c r="L38" s="123">
        <f>K38+200</f>
        <v>6600</v>
      </c>
      <c r="M38" s="123">
        <f>L38+200</f>
        <v>6800</v>
      </c>
      <c r="N38" s="123">
        <f>M38+200</f>
        <v>7000</v>
      </c>
      <c r="P38" s="218" t="s">
        <v>13</v>
      </c>
      <c r="Q38" s="219"/>
      <c r="R38" s="123">
        <f>S38-200</f>
        <v>5400</v>
      </c>
      <c r="S38" s="123">
        <f>T38-200</f>
        <v>5600</v>
      </c>
      <c r="T38" s="123">
        <f>U38-200</f>
        <v>5800</v>
      </c>
      <c r="U38" s="123">
        <f>V38-200</f>
        <v>6000</v>
      </c>
      <c r="V38" s="124">
        <f>J38</f>
        <v>6200</v>
      </c>
      <c r="W38" s="123">
        <f>V38+200</f>
        <v>6400</v>
      </c>
      <c r="X38" s="123">
        <f>W38+200</f>
        <v>6600</v>
      </c>
      <c r="Y38" s="123">
        <f>X38+200</f>
        <v>6800</v>
      </c>
      <c r="Z38" s="123">
        <f>Y38+200</f>
        <v>7000</v>
      </c>
    </row>
    <row r="39" spans="1:26" ht="13.5" customHeight="1" thickBot="1">
      <c r="A39" s="125" t="s">
        <v>14</v>
      </c>
      <c r="B39" s="126">
        <f>B38+B37</f>
        <v>9106.140814661236</v>
      </c>
      <c r="C39" s="167"/>
      <c r="D39" s="220" t="s">
        <v>15</v>
      </c>
      <c r="E39" s="221"/>
      <c r="F39" s="168">
        <f aca="true" t="shared" si="8" ref="F39:N39">F38-$B$44</f>
        <v>5338</v>
      </c>
      <c r="G39" s="128">
        <f t="shared" si="8"/>
        <v>5538</v>
      </c>
      <c r="H39" s="128">
        <f t="shared" si="8"/>
        <v>5738</v>
      </c>
      <c r="I39" s="128">
        <f t="shared" si="8"/>
        <v>5938</v>
      </c>
      <c r="J39" s="130">
        <f t="shared" si="8"/>
        <v>6138</v>
      </c>
      <c r="K39" s="128">
        <f t="shared" si="8"/>
        <v>6338</v>
      </c>
      <c r="L39" s="128">
        <f t="shared" si="8"/>
        <v>6538</v>
      </c>
      <c r="M39" s="128">
        <f t="shared" si="8"/>
        <v>6738</v>
      </c>
      <c r="N39" s="128">
        <f t="shared" si="8"/>
        <v>6938</v>
      </c>
      <c r="P39" s="220" t="s">
        <v>15</v>
      </c>
      <c r="Q39" s="221"/>
      <c r="R39" s="128">
        <f aca="true" t="shared" si="9" ref="R39:Z39">R38-$B$44</f>
        <v>5338</v>
      </c>
      <c r="S39" s="128">
        <f t="shared" si="9"/>
        <v>5538</v>
      </c>
      <c r="T39" s="128">
        <f t="shared" si="9"/>
        <v>5738</v>
      </c>
      <c r="U39" s="128">
        <f t="shared" si="9"/>
        <v>5938</v>
      </c>
      <c r="V39" s="130">
        <f t="shared" si="9"/>
        <v>6138</v>
      </c>
      <c r="W39" s="128">
        <f t="shared" si="9"/>
        <v>6338</v>
      </c>
      <c r="X39" s="128">
        <f t="shared" si="9"/>
        <v>6538</v>
      </c>
      <c r="Y39" s="128">
        <f t="shared" si="9"/>
        <v>6738</v>
      </c>
      <c r="Z39" s="128">
        <f t="shared" si="9"/>
        <v>6938</v>
      </c>
    </row>
    <row r="40" spans="1:26" ht="13.5" customHeight="1" thickBot="1">
      <c r="A40" s="131"/>
      <c r="B40" s="132"/>
      <c r="C40" s="169"/>
      <c r="D40" s="223" t="s">
        <v>16</v>
      </c>
      <c r="E40" s="133">
        <f>E41-0.25</f>
        <v>1.3</v>
      </c>
      <c r="F40" s="134">
        <f>F$39-($B$39/$E40)</f>
        <v>-1666.723703585566</v>
      </c>
      <c r="G40" s="135">
        <f aca="true" t="shared" si="10" ref="F40:N44">G$39-($B$39/$E40)</f>
        <v>-1466.723703585566</v>
      </c>
      <c r="H40" s="135">
        <f t="shared" si="10"/>
        <v>-1266.723703585566</v>
      </c>
      <c r="I40" s="135">
        <f t="shared" si="10"/>
        <v>-1066.723703585566</v>
      </c>
      <c r="J40" s="135">
        <f t="shared" si="10"/>
        <v>-866.723703585566</v>
      </c>
      <c r="K40" s="135">
        <f t="shared" si="10"/>
        <v>-666.723703585566</v>
      </c>
      <c r="L40" s="135">
        <f t="shared" si="10"/>
        <v>-466.723703585566</v>
      </c>
      <c r="M40" s="136">
        <f t="shared" si="10"/>
        <v>-266.723703585566</v>
      </c>
      <c r="N40" s="137">
        <f t="shared" si="10"/>
        <v>-66.723703585566</v>
      </c>
      <c r="P40" s="223" t="s">
        <v>16</v>
      </c>
      <c r="Q40" s="133">
        <f>Q41-0.25</f>
        <v>1.3</v>
      </c>
      <c r="R40" s="134">
        <f>R$39-($B$37/$E40)</f>
        <v>-311.3433702265911</v>
      </c>
      <c r="S40" s="134">
        <f aca="true" t="shared" si="11" ref="S40:Z40">S$39-($B$37/$E40)</f>
        <v>-111.3433702265911</v>
      </c>
      <c r="T40" s="134">
        <f t="shared" si="11"/>
        <v>88.6566297734089</v>
      </c>
      <c r="U40" s="134">
        <f t="shared" si="11"/>
        <v>288.6566297734089</v>
      </c>
      <c r="V40" s="134">
        <f t="shared" si="11"/>
        <v>488.6566297734089</v>
      </c>
      <c r="W40" s="134">
        <f t="shared" si="11"/>
        <v>688.6566297734089</v>
      </c>
      <c r="X40" s="134">
        <f t="shared" si="11"/>
        <v>888.6566297734089</v>
      </c>
      <c r="Y40" s="134">
        <f t="shared" si="11"/>
        <v>1088.656629773409</v>
      </c>
      <c r="Z40" s="134">
        <f t="shared" si="11"/>
        <v>1288.656629773409</v>
      </c>
    </row>
    <row r="41" spans="1:26" ht="13.5" customHeight="1" thickBot="1">
      <c r="A41" s="138" t="s">
        <v>17</v>
      </c>
      <c r="B41" s="257">
        <f>Sojabone!F5</f>
        <v>1.8</v>
      </c>
      <c r="C41" s="170"/>
      <c r="D41" s="224"/>
      <c r="E41" s="133">
        <f>E42-0.25</f>
        <v>1.55</v>
      </c>
      <c r="F41" s="139">
        <f t="shared" si="10"/>
        <v>-536.9295578459587</v>
      </c>
      <c r="G41" s="140">
        <f t="shared" si="10"/>
        <v>-336.9295578459587</v>
      </c>
      <c r="H41" s="140">
        <f t="shared" si="10"/>
        <v>-136.9295578459587</v>
      </c>
      <c r="I41" s="140">
        <f t="shared" si="10"/>
        <v>63.0704421540413</v>
      </c>
      <c r="J41" s="140">
        <f t="shared" si="10"/>
        <v>263.0704421540413</v>
      </c>
      <c r="K41" s="141">
        <f t="shared" si="10"/>
        <v>463.0704421540413</v>
      </c>
      <c r="L41" s="141">
        <f t="shared" si="10"/>
        <v>663.0704421540413</v>
      </c>
      <c r="M41" s="141">
        <f t="shared" si="10"/>
        <v>863.0704421540413</v>
      </c>
      <c r="N41" s="142">
        <f t="shared" si="10"/>
        <v>1063.0704421540413</v>
      </c>
      <c r="P41" s="224"/>
      <c r="Q41" s="133">
        <f>Q42-0.25</f>
        <v>1.55</v>
      </c>
      <c r="R41" s="134">
        <f aca="true" t="shared" si="12" ref="R41:Z44">R$39-($B$37/$E41)</f>
        <v>599.8410443260846</v>
      </c>
      <c r="S41" s="134">
        <f t="shared" si="12"/>
        <v>799.8410443260846</v>
      </c>
      <c r="T41" s="134">
        <f t="shared" si="12"/>
        <v>999.8410443260846</v>
      </c>
      <c r="U41" s="134">
        <f t="shared" si="12"/>
        <v>1199.8410443260846</v>
      </c>
      <c r="V41" s="134">
        <f t="shared" si="12"/>
        <v>1399.8410443260846</v>
      </c>
      <c r="W41" s="134">
        <f t="shared" si="12"/>
        <v>1599.8410443260846</v>
      </c>
      <c r="X41" s="134">
        <f t="shared" si="12"/>
        <v>1799.8410443260846</v>
      </c>
      <c r="Y41" s="134">
        <f t="shared" si="12"/>
        <v>1999.8410443260846</v>
      </c>
      <c r="Z41" s="134">
        <f t="shared" si="12"/>
        <v>2199.8410443260846</v>
      </c>
    </row>
    <row r="42" spans="1:26" ht="13.5" customHeight="1" thickBot="1">
      <c r="A42" s="131"/>
      <c r="B42" s="132"/>
      <c r="C42" s="169"/>
      <c r="D42" s="224"/>
      <c r="E42" s="143">
        <f>B41</f>
        <v>1.8</v>
      </c>
      <c r="F42" s="139">
        <f t="shared" si="10"/>
        <v>279.03288074375814</v>
      </c>
      <c r="G42" s="140">
        <f t="shared" si="10"/>
        <v>479.03288074375814</v>
      </c>
      <c r="H42" s="140">
        <f t="shared" si="10"/>
        <v>679.0328807437581</v>
      </c>
      <c r="I42" s="140">
        <f t="shared" si="10"/>
        <v>879.0328807437581</v>
      </c>
      <c r="J42" s="141">
        <f t="shared" si="10"/>
        <v>1079.0328807437581</v>
      </c>
      <c r="K42" s="141">
        <f t="shared" si="10"/>
        <v>1279.0328807437581</v>
      </c>
      <c r="L42" s="141">
        <f t="shared" si="10"/>
        <v>1479.0328807437581</v>
      </c>
      <c r="M42" s="141">
        <f t="shared" si="10"/>
        <v>1679.0328807437581</v>
      </c>
      <c r="N42" s="142">
        <f t="shared" si="10"/>
        <v>1879.0328807437581</v>
      </c>
      <c r="P42" s="224"/>
      <c r="Q42" s="143">
        <f>E42</f>
        <v>1.8</v>
      </c>
      <c r="R42" s="134">
        <f>R$39-($B$37/$E42)</f>
        <v>1257.918677058573</v>
      </c>
      <c r="S42" s="134">
        <f t="shared" si="12"/>
        <v>1457.918677058573</v>
      </c>
      <c r="T42" s="134">
        <f t="shared" si="12"/>
        <v>1657.918677058573</v>
      </c>
      <c r="U42" s="134">
        <f t="shared" si="12"/>
        <v>1857.918677058573</v>
      </c>
      <c r="V42" s="134">
        <f t="shared" si="12"/>
        <v>2057.918677058573</v>
      </c>
      <c r="W42" s="134">
        <f t="shared" si="12"/>
        <v>2257.918677058573</v>
      </c>
      <c r="X42" s="134">
        <f t="shared" si="12"/>
        <v>2457.918677058573</v>
      </c>
      <c r="Y42" s="134">
        <f t="shared" si="12"/>
        <v>2657.918677058573</v>
      </c>
      <c r="Z42" s="134">
        <f t="shared" si="12"/>
        <v>2857.918677058573</v>
      </c>
    </row>
    <row r="43" spans="1:26" ht="13.5" customHeight="1" thickBot="1">
      <c r="A43" s="144" t="s">
        <v>28</v>
      </c>
      <c r="B43" s="171">
        <f>B6</f>
        <v>6200</v>
      </c>
      <c r="C43" s="169"/>
      <c r="D43" s="224"/>
      <c r="E43" s="133">
        <f>E42+0.25</f>
        <v>2.05</v>
      </c>
      <c r="F43" s="139">
        <f t="shared" si="10"/>
        <v>895.9800904091526</v>
      </c>
      <c r="G43" s="140">
        <f t="shared" si="10"/>
        <v>1095.9800904091526</v>
      </c>
      <c r="H43" s="140">
        <f t="shared" si="10"/>
        <v>1295.9800904091526</v>
      </c>
      <c r="I43" s="141">
        <f t="shared" si="10"/>
        <v>1495.9800904091526</v>
      </c>
      <c r="J43" s="141">
        <f t="shared" si="10"/>
        <v>1695.9800904091526</v>
      </c>
      <c r="K43" s="141">
        <f t="shared" si="10"/>
        <v>1895.9800904091526</v>
      </c>
      <c r="L43" s="141">
        <f t="shared" si="10"/>
        <v>2095.9800904091526</v>
      </c>
      <c r="M43" s="141">
        <f t="shared" si="10"/>
        <v>2295.9800904091526</v>
      </c>
      <c r="N43" s="142">
        <f t="shared" si="10"/>
        <v>2495.9800904091526</v>
      </c>
      <c r="P43" s="224"/>
      <c r="Q43" s="133">
        <f>Q42+0.25</f>
        <v>2.05</v>
      </c>
      <c r="R43" s="134">
        <f t="shared" si="12"/>
        <v>1755.4895701002101</v>
      </c>
      <c r="S43" s="134">
        <f t="shared" si="12"/>
        <v>1955.4895701002101</v>
      </c>
      <c r="T43" s="134">
        <f t="shared" si="12"/>
        <v>2155.48957010021</v>
      </c>
      <c r="U43" s="134">
        <f t="shared" si="12"/>
        <v>2355.48957010021</v>
      </c>
      <c r="V43" s="134">
        <f t="shared" si="12"/>
        <v>2555.48957010021</v>
      </c>
      <c r="W43" s="134">
        <f t="shared" si="12"/>
        <v>2755.48957010021</v>
      </c>
      <c r="X43" s="134">
        <f t="shared" si="12"/>
        <v>2955.48957010021</v>
      </c>
      <c r="Y43" s="134">
        <f t="shared" si="12"/>
        <v>3155.48957010021</v>
      </c>
      <c r="Z43" s="134">
        <f t="shared" si="12"/>
        <v>3355.48957010021</v>
      </c>
    </row>
    <row r="44" spans="1:26" ht="13.5" customHeight="1" thickBot="1">
      <c r="A44" s="146" t="s">
        <v>19</v>
      </c>
      <c r="B44" s="145">
        <f>D6</f>
        <v>62</v>
      </c>
      <c r="C44" s="172"/>
      <c r="D44" s="225"/>
      <c r="E44" s="133">
        <f>E43+0.25</f>
        <v>2.3</v>
      </c>
      <c r="F44" s="147">
        <f t="shared" si="10"/>
        <v>1378.8083414516364</v>
      </c>
      <c r="G44" s="148">
        <f>G$39-($B$39/$E44)</f>
        <v>1578.8083414516364</v>
      </c>
      <c r="H44" s="149">
        <f t="shared" si="10"/>
        <v>1778.8083414516364</v>
      </c>
      <c r="I44" s="149">
        <f t="shared" si="10"/>
        <v>1978.8083414516364</v>
      </c>
      <c r="J44" s="149">
        <f t="shared" si="10"/>
        <v>2178.8083414516364</v>
      </c>
      <c r="K44" s="149">
        <f t="shared" si="10"/>
        <v>2378.8083414516364</v>
      </c>
      <c r="L44" s="149">
        <f t="shared" si="10"/>
        <v>2578.8083414516364</v>
      </c>
      <c r="M44" s="149">
        <f t="shared" si="10"/>
        <v>2778.8083414516364</v>
      </c>
      <c r="N44" s="150">
        <f t="shared" si="10"/>
        <v>2978.8083414516364</v>
      </c>
      <c r="P44" s="225"/>
      <c r="Q44" s="133">
        <f>Q43+0.25</f>
        <v>2.3</v>
      </c>
      <c r="R44" s="134">
        <f t="shared" si="12"/>
        <v>2144.8928776980133</v>
      </c>
      <c r="S44" s="134">
        <f>S$39-($B$37/$E44)</f>
        <v>2344.8928776980133</v>
      </c>
      <c r="T44" s="134">
        <f t="shared" si="12"/>
        <v>2544.8928776980133</v>
      </c>
      <c r="U44" s="134">
        <f t="shared" si="12"/>
        <v>2744.8928776980133</v>
      </c>
      <c r="V44" s="134">
        <f t="shared" si="12"/>
        <v>2944.8928776980133</v>
      </c>
      <c r="W44" s="134">
        <f t="shared" si="12"/>
        <v>3144.8928776980133</v>
      </c>
      <c r="X44" s="134">
        <f t="shared" si="12"/>
        <v>3344.8928776980133</v>
      </c>
      <c r="Y44" s="134">
        <f t="shared" si="12"/>
        <v>3544.8928776980133</v>
      </c>
      <c r="Z44" s="134">
        <f t="shared" si="12"/>
        <v>3744.8928776980133</v>
      </c>
    </row>
    <row r="45" spans="1:3" ht="13.5" customHeight="1" thickBot="1">
      <c r="A45" s="151" t="s">
        <v>20</v>
      </c>
      <c r="B45" s="152">
        <f>B43-B44</f>
        <v>6138</v>
      </c>
      <c r="C45" s="172"/>
    </row>
    <row r="46" ht="13.5" customHeight="1"/>
    <row r="47" ht="13.5" customHeight="1"/>
  </sheetData>
  <sheetProtection sheet="1" selectLockedCells="1"/>
  <mergeCells count="27">
    <mergeCell ref="P25:Q25"/>
    <mergeCell ref="D14:D18"/>
    <mergeCell ref="P14:P18"/>
    <mergeCell ref="D10:N10"/>
    <mergeCell ref="P10:Z10"/>
    <mergeCell ref="D12:E12"/>
    <mergeCell ref="P12:Q12"/>
    <mergeCell ref="D13:E13"/>
    <mergeCell ref="P13:Q13"/>
    <mergeCell ref="D40:D44"/>
    <mergeCell ref="P40:P44"/>
    <mergeCell ref="D26:E26"/>
    <mergeCell ref="P26:Q26"/>
    <mergeCell ref="D27:D31"/>
    <mergeCell ref="P27:P31"/>
    <mergeCell ref="D36:N36"/>
    <mergeCell ref="P36:Z36"/>
    <mergeCell ref="A22:B22"/>
    <mergeCell ref="A35:B35"/>
    <mergeCell ref="A9:B9"/>
    <mergeCell ref="D38:E38"/>
    <mergeCell ref="P38:Q38"/>
    <mergeCell ref="D39:E39"/>
    <mergeCell ref="P39:Q39"/>
    <mergeCell ref="D23:N23"/>
    <mergeCell ref="P23:Z23"/>
    <mergeCell ref="D25:E25"/>
  </mergeCells>
  <conditionalFormatting sqref="F14:N18">
    <cfRule type="cellIs" priority="45" dxfId="0" operator="lessThan" stopIfTrue="1">
      <formula>1</formula>
    </cfRule>
    <cfRule type="cellIs" priority="46" dxfId="1" operator="greaterThan" stopIfTrue="1">
      <formula>1</formula>
    </cfRule>
    <cfRule type="cellIs" priority="47" dxfId="0" operator="lessThan" stopIfTrue="1">
      <formula>1</formula>
    </cfRule>
    <cfRule type="cellIs" priority="48" dxfId="1" operator="greaterThan" stopIfTrue="1">
      <formula>1</formula>
    </cfRule>
  </conditionalFormatting>
  <conditionalFormatting sqref="F40:N44">
    <cfRule type="cellIs" priority="41" dxfId="0" operator="lessThan" stopIfTrue="1">
      <formula>1</formula>
    </cfRule>
    <cfRule type="cellIs" priority="42" dxfId="1" operator="greaterThan" stopIfTrue="1">
      <formula>1</formula>
    </cfRule>
    <cfRule type="cellIs" priority="43" dxfId="0" operator="lessThan" stopIfTrue="1">
      <formula>1</formula>
    </cfRule>
    <cfRule type="cellIs" priority="44" dxfId="1" operator="greaterThan" stopIfTrue="1">
      <formula>1</formula>
    </cfRule>
  </conditionalFormatting>
  <conditionalFormatting sqref="R14:Z18">
    <cfRule type="cellIs" priority="37" dxfId="0" operator="lessThan" stopIfTrue="1">
      <formula>1</formula>
    </cfRule>
    <cfRule type="cellIs" priority="38" dxfId="1" operator="greaterThan" stopIfTrue="1">
      <formula>1</formula>
    </cfRule>
    <cfRule type="cellIs" priority="39" dxfId="0" operator="lessThan" stopIfTrue="1">
      <formula>1</formula>
    </cfRule>
    <cfRule type="cellIs" priority="40" dxfId="1" operator="greaterThan" stopIfTrue="1">
      <formula>1</formula>
    </cfRule>
  </conditionalFormatting>
  <conditionalFormatting sqref="R40:Z44">
    <cfRule type="cellIs" priority="33" dxfId="0" operator="lessThan" stopIfTrue="1">
      <formula>1</formula>
    </cfRule>
    <cfRule type="cellIs" priority="34" dxfId="1" operator="greaterThan" stopIfTrue="1">
      <formula>1</formula>
    </cfRule>
    <cfRule type="cellIs" priority="35" dxfId="0" operator="lessThan" stopIfTrue="1">
      <formula>1</formula>
    </cfRule>
    <cfRule type="cellIs" priority="36" dxfId="1" operator="greaterThan" stopIfTrue="1">
      <formula>1</formula>
    </cfRule>
  </conditionalFormatting>
  <conditionalFormatting sqref="F27:N31">
    <cfRule type="cellIs" priority="29" dxfId="0" operator="lessThan" stopIfTrue="1">
      <formula>1</formula>
    </cfRule>
    <cfRule type="cellIs" priority="30" dxfId="1" operator="greaterThan" stopIfTrue="1">
      <formula>1</formula>
    </cfRule>
    <cfRule type="cellIs" priority="31" dxfId="0" operator="lessThan" stopIfTrue="1">
      <formula>1</formula>
    </cfRule>
    <cfRule type="cellIs" priority="32" dxfId="1" operator="greaterThan" stopIfTrue="1">
      <formula>1</formula>
    </cfRule>
  </conditionalFormatting>
  <conditionalFormatting sqref="R27:Z31">
    <cfRule type="cellIs" priority="25" dxfId="0" operator="lessThan" stopIfTrue="1">
      <formula>1</formula>
    </cfRule>
    <cfRule type="cellIs" priority="26" dxfId="1" operator="greaterThan" stopIfTrue="1">
      <formula>1</formula>
    </cfRule>
    <cfRule type="cellIs" priority="27" dxfId="0" operator="lessThan" stopIfTrue="1">
      <formula>1</formula>
    </cfRule>
    <cfRule type="cellIs" priority="28" dxfId="1" operator="greaterThan" stopIfTrue="1">
      <formula>1</formula>
    </cfRule>
  </conditionalFormatting>
  <dataValidations count="3">
    <dataValidation type="list" allowBlank="1" showInputMessage="1" showErrorMessage="1" sqref="B15">
      <formula1>Obrengspeil</formula1>
    </dataValidation>
    <dataValidation type="list" allowBlank="1" showInputMessage="1" showErrorMessage="1" sqref="B28">
      <formula1>Sonopbrengspeil</formula1>
    </dataValidation>
    <dataValidation type="list" allowBlank="1" showInputMessage="1" showErrorMessage="1" sqref="B41">
      <formula1>Sojaopbrengspeil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1" width="30.421875" style="2" customWidth="1"/>
    <col min="12" max="26" width="12.7109375" style="2" customWidth="1"/>
    <col min="27" max="16384" width="9.140625" style="2" customWidth="1"/>
  </cols>
  <sheetData>
    <row r="1" spans="1:10" s="4" customFormat="1" ht="30.75" customHeight="1" thickBot="1">
      <c r="A1" s="235" t="s">
        <v>37</v>
      </c>
      <c r="B1" s="236"/>
      <c r="C1" s="236"/>
      <c r="D1" s="236"/>
      <c r="E1" s="237" t="s">
        <v>70</v>
      </c>
      <c r="F1" s="237"/>
      <c r="G1" s="237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4.75" customHeight="1" thickBot="1">
      <c r="A3" s="241" t="s">
        <v>42</v>
      </c>
      <c r="B3" s="242"/>
      <c r="C3" s="242"/>
      <c r="D3" s="58"/>
      <c r="E3" s="71">
        <f>'Pryse + Sensatiwiteitsanalise'!B19</f>
        <v>2422</v>
      </c>
      <c r="F3" s="58" t="s">
        <v>3</v>
      </c>
      <c r="G3" s="20"/>
      <c r="H3" s="20"/>
      <c r="I3" s="7"/>
      <c r="K3" s="4"/>
    </row>
    <row r="4" spans="1:11" ht="13.5" thickBot="1">
      <c r="A4" s="202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84" t="s">
        <v>43</v>
      </c>
      <c r="B5" s="9"/>
      <c r="C5" s="9"/>
      <c r="D5" s="89">
        <v>3</v>
      </c>
      <c r="E5" s="89">
        <v>3.5</v>
      </c>
      <c r="F5" s="89">
        <v>4</v>
      </c>
      <c r="G5" s="89">
        <v>4.5</v>
      </c>
      <c r="H5" s="89">
        <v>5.5</v>
      </c>
      <c r="I5" s="89">
        <v>6</v>
      </c>
      <c r="J5" s="4"/>
      <c r="K5" s="15"/>
    </row>
    <row r="6" spans="1:11" ht="13.5" thickBot="1">
      <c r="A6" s="185" t="s">
        <v>44</v>
      </c>
      <c r="B6" s="204"/>
      <c r="C6" s="207"/>
      <c r="D6" s="67">
        <f aca="true" t="shared" si="0" ref="D6:I6">$E$3*D5</f>
        <v>7266</v>
      </c>
      <c r="E6" s="67">
        <f t="shared" si="0"/>
        <v>8477</v>
      </c>
      <c r="F6" s="67">
        <f t="shared" si="0"/>
        <v>9688</v>
      </c>
      <c r="G6" s="67">
        <f t="shared" si="0"/>
        <v>10899</v>
      </c>
      <c r="H6" s="67">
        <f t="shared" si="0"/>
        <v>13321</v>
      </c>
      <c r="I6" s="67">
        <f t="shared" si="0"/>
        <v>14532</v>
      </c>
      <c r="J6" s="4"/>
      <c r="K6" s="15"/>
    </row>
    <row r="7" spans="1:11" ht="13.5" thickBot="1">
      <c r="A7" s="205"/>
      <c r="B7" s="206"/>
      <c r="C7" s="206"/>
      <c r="D7" s="23"/>
      <c r="E7" s="23"/>
      <c r="F7" s="23"/>
      <c r="G7" s="23"/>
      <c r="H7" s="23"/>
      <c r="I7" s="23"/>
      <c r="J7" s="4"/>
      <c r="K7" s="15"/>
    </row>
    <row r="8" spans="1:11" ht="13.5" thickBot="1">
      <c r="A8" s="246" t="s">
        <v>45</v>
      </c>
      <c r="B8" s="247"/>
      <c r="C8" s="248"/>
      <c r="D8" s="24"/>
      <c r="E8" s="24"/>
      <c r="F8" s="24"/>
      <c r="G8" s="24"/>
      <c r="H8" s="24"/>
      <c r="I8" s="24"/>
      <c r="J8" s="4"/>
      <c r="K8" s="15"/>
    </row>
    <row r="9" spans="1:11" ht="12.75">
      <c r="A9" s="189" t="s">
        <v>46</v>
      </c>
      <c r="B9" s="190"/>
      <c r="C9" s="190"/>
      <c r="D9" s="59">
        <v>924.6249999999999</v>
      </c>
      <c r="E9" s="59">
        <v>995.7499999999999</v>
      </c>
      <c r="F9" s="59">
        <v>1066.875</v>
      </c>
      <c r="G9" s="59">
        <v>1066.875</v>
      </c>
      <c r="H9" s="59">
        <v>1173.5625</v>
      </c>
      <c r="I9" s="59">
        <v>1173.5625</v>
      </c>
      <c r="J9" s="4"/>
      <c r="K9" s="15"/>
    </row>
    <row r="10" spans="1:11" ht="12.75">
      <c r="A10" s="186" t="s">
        <v>47</v>
      </c>
      <c r="B10" s="191"/>
      <c r="C10" s="191"/>
      <c r="D10" s="60">
        <v>1528.1999999999998</v>
      </c>
      <c r="E10" s="60">
        <v>1685.9</v>
      </c>
      <c r="F10" s="60">
        <v>1959.9999999999998</v>
      </c>
      <c r="G10" s="60">
        <v>2272.9</v>
      </c>
      <c r="H10" s="60">
        <v>2602.8999999999996</v>
      </c>
      <c r="I10" s="60">
        <v>2823.6</v>
      </c>
      <c r="J10" s="4"/>
      <c r="K10" s="15"/>
    </row>
    <row r="11" spans="1:11" ht="12.75">
      <c r="A11" s="186" t="s">
        <v>48</v>
      </c>
      <c r="B11" s="191"/>
      <c r="C11" s="191"/>
      <c r="D11" s="60">
        <v>560</v>
      </c>
      <c r="E11" s="60">
        <v>560</v>
      </c>
      <c r="F11" s="60">
        <v>560</v>
      </c>
      <c r="G11" s="60">
        <v>560</v>
      </c>
      <c r="H11" s="60">
        <v>560</v>
      </c>
      <c r="I11" s="60">
        <v>560</v>
      </c>
      <c r="J11" s="4"/>
      <c r="K11" s="15"/>
    </row>
    <row r="12" spans="1:11" ht="12.75">
      <c r="A12" s="186" t="s">
        <v>49</v>
      </c>
      <c r="B12" s="191"/>
      <c r="C12" s="191"/>
      <c r="D12" s="60">
        <v>738.354905</v>
      </c>
      <c r="E12" s="60">
        <v>755.275155</v>
      </c>
      <c r="F12" s="60">
        <v>772.195405</v>
      </c>
      <c r="G12" s="60">
        <v>789.1156550000001</v>
      </c>
      <c r="H12" s="60">
        <v>816.5711550000001</v>
      </c>
      <c r="I12" s="60">
        <v>833.491405</v>
      </c>
      <c r="J12" s="4"/>
      <c r="K12" s="15"/>
    </row>
    <row r="13" spans="1:11" ht="12.75">
      <c r="A13" s="186" t="s">
        <v>50</v>
      </c>
      <c r="B13" s="191"/>
      <c r="C13" s="191"/>
      <c r="D13" s="60">
        <v>586.6381</v>
      </c>
      <c r="E13" s="60">
        <v>589.7031</v>
      </c>
      <c r="F13" s="60">
        <v>592.7681</v>
      </c>
      <c r="G13" s="60">
        <v>595.8331000000001</v>
      </c>
      <c r="H13" s="60">
        <v>601.9630999999999</v>
      </c>
      <c r="I13" s="60">
        <v>605.0281</v>
      </c>
      <c r="J13" s="4"/>
      <c r="K13" s="15"/>
    </row>
    <row r="14" spans="1:11" ht="12.75">
      <c r="A14" s="186" t="s">
        <v>51</v>
      </c>
      <c r="B14" s="191"/>
      <c r="C14" s="191"/>
      <c r="D14" s="60">
        <v>384.8366</v>
      </c>
      <c r="E14" s="60">
        <v>384.8366</v>
      </c>
      <c r="F14" s="60">
        <v>384.8366</v>
      </c>
      <c r="G14" s="60">
        <v>384.8366</v>
      </c>
      <c r="H14" s="60">
        <v>384.8366</v>
      </c>
      <c r="I14" s="60">
        <v>384.8366</v>
      </c>
      <c r="J14" s="4"/>
      <c r="K14" s="15"/>
    </row>
    <row r="15" spans="1:11" ht="12.75">
      <c r="A15" s="186" t="s">
        <v>52</v>
      </c>
      <c r="B15" s="191"/>
      <c r="C15" s="191"/>
      <c r="D15" s="60">
        <v>754.942876</v>
      </c>
      <c r="E15" s="60">
        <v>754.942876</v>
      </c>
      <c r="F15" s="60">
        <v>754.942876</v>
      </c>
      <c r="G15" s="60">
        <v>754.942876</v>
      </c>
      <c r="H15" s="60">
        <v>754.942876</v>
      </c>
      <c r="I15" s="60">
        <v>754.942876</v>
      </c>
      <c r="J15" s="4"/>
      <c r="K15" s="15"/>
    </row>
    <row r="16" spans="1:11" ht="12.75">
      <c r="A16" s="186" t="s">
        <v>53</v>
      </c>
      <c r="B16" s="191"/>
      <c r="C16" s="191"/>
      <c r="D16" s="60">
        <v>159.237</v>
      </c>
      <c r="E16" s="60">
        <v>185.7765</v>
      </c>
      <c r="F16" s="60">
        <v>212.316</v>
      </c>
      <c r="G16" s="60">
        <v>238.8555</v>
      </c>
      <c r="H16" s="60">
        <v>291.9345</v>
      </c>
      <c r="I16" s="60">
        <v>318.474</v>
      </c>
      <c r="J16" s="4"/>
      <c r="K16" s="15"/>
    </row>
    <row r="17" spans="1:11" ht="12.75">
      <c r="A17" s="186" t="s">
        <v>55</v>
      </c>
      <c r="B17" s="191"/>
      <c r="C17" s="191"/>
      <c r="D17" s="60">
        <v>448.35172527553266</v>
      </c>
      <c r="E17" s="60">
        <v>472.07608236590744</v>
      </c>
      <c r="F17" s="60">
        <v>504.3529743570904</v>
      </c>
      <c r="G17" s="60">
        <v>534.2547745040412</v>
      </c>
      <c r="H17" s="60">
        <v>579.6941205731081</v>
      </c>
      <c r="I17" s="60">
        <v>602.8214901542983</v>
      </c>
      <c r="J17" s="4"/>
      <c r="K17" s="15"/>
    </row>
    <row r="18" spans="1:11" ht="12.75">
      <c r="A18" s="186" t="s">
        <v>56</v>
      </c>
      <c r="B18" s="191"/>
      <c r="C18" s="191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86" t="s">
        <v>57</v>
      </c>
      <c r="B19" s="191"/>
      <c r="C19" s="191"/>
      <c r="D19" s="60">
        <v>285.2325</v>
      </c>
      <c r="E19" s="60">
        <v>332.77125</v>
      </c>
      <c r="F19" s="60">
        <v>380.31000000000006</v>
      </c>
      <c r="G19" s="60">
        <v>427.84875000000005</v>
      </c>
      <c r="H19" s="60">
        <v>522.9262500000001</v>
      </c>
      <c r="I19" s="60">
        <v>570.465</v>
      </c>
      <c r="J19" s="4"/>
      <c r="K19" s="15"/>
    </row>
    <row r="20" spans="1:11" ht="12.75">
      <c r="A20" s="186" t="s">
        <v>58</v>
      </c>
      <c r="B20" s="191"/>
      <c r="C20" s="191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86" t="s">
        <v>59</v>
      </c>
      <c r="B21" s="191"/>
      <c r="C21" s="191"/>
      <c r="D21" s="60">
        <v>180</v>
      </c>
      <c r="E21" s="60">
        <v>180</v>
      </c>
      <c r="F21" s="60">
        <v>180</v>
      </c>
      <c r="G21" s="60">
        <v>180</v>
      </c>
      <c r="H21" s="60">
        <v>180</v>
      </c>
      <c r="I21" s="60">
        <v>180</v>
      </c>
      <c r="J21" s="4"/>
      <c r="K21" s="15"/>
    </row>
    <row r="22" spans="1:11" ht="12.75">
      <c r="A22" s="186" t="s">
        <v>60</v>
      </c>
      <c r="B22" s="191"/>
      <c r="C22" s="191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86" t="s">
        <v>61</v>
      </c>
      <c r="B23" s="191"/>
      <c r="C23" s="191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86" t="s">
        <v>62</v>
      </c>
      <c r="B24" s="191"/>
      <c r="C24" s="191"/>
      <c r="D24" s="60">
        <v>515.8454731191981</v>
      </c>
      <c r="E24" s="60">
        <v>543.141235615065</v>
      </c>
      <c r="F24" s="60">
        <v>580.2770102343708</v>
      </c>
      <c r="G24" s="60">
        <v>614.6801526209432</v>
      </c>
      <c r="H24" s="60">
        <v>666.9598242488822</v>
      </c>
      <c r="I24" s="60">
        <v>693.5687302284009</v>
      </c>
      <c r="J24" s="4"/>
      <c r="K24" s="15"/>
    </row>
    <row r="25" spans="1:11" ht="13.5" thickBot="1">
      <c r="A25" s="238" t="s">
        <v>63</v>
      </c>
      <c r="B25" s="244"/>
      <c r="C25" s="245"/>
      <c r="D25" s="61">
        <f aca="true" t="shared" si="1" ref="D25:I25">SUM(D8:D24)</f>
        <v>7066.2641793947305</v>
      </c>
      <c r="E25" s="61">
        <f t="shared" si="1"/>
        <v>7440.1727989809715</v>
      </c>
      <c r="F25" s="61">
        <f t="shared" si="1"/>
        <v>7948.873965591462</v>
      </c>
      <c r="G25" s="61">
        <f t="shared" si="1"/>
        <v>8420.142408124984</v>
      </c>
      <c r="H25" s="61">
        <f t="shared" si="1"/>
        <v>9136.29092582199</v>
      </c>
      <c r="I25" s="61">
        <f t="shared" si="1"/>
        <v>9500.790701382699</v>
      </c>
      <c r="J25" s="4"/>
      <c r="K25" s="15"/>
    </row>
    <row r="26" spans="1:11" ht="13.5" thickBot="1">
      <c r="A26" s="192"/>
      <c r="B26" s="193"/>
      <c r="C26" s="193"/>
      <c r="D26" s="62"/>
      <c r="E26" s="62"/>
      <c r="F26" s="62"/>
      <c r="G26" s="62"/>
      <c r="H26" s="62"/>
      <c r="I26" s="62"/>
      <c r="J26" s="4"/>
      <c r="K26" s="15"/>
    </row>
    <row r="27" spans="1:10" ht="13.5" thickBot="1">
      <c r="A27" s="249" t="s">
        <v>64</v>
      </c>
      <c r="B27" s="250"/>
      <c r="C27" s="251"/>
      <c r="D27" s="61">
        <v>2029.3394333666668</v>
      </c>
      <c r="E27" s="61">
        <v>2029.3394333666668</v>
      </c>
      <c r="F27" s="61">
        <v>2029.3394333666668</v>
      </c>
      <c r="G27" s="61">
        <v>2029.3394333666668</v>
      </c>
      <c r="H27" s="61">
        <v>2029.3394333666668</v>
      </c>
      <c r="I27" s="61">
        <v>2029.3394333666668</v>
      </c>
      <c r="J27" s="4"/>
    </row>
    <row r="28" spans="1:10" ht="13.5" thickBot="1">
      <c r="A28" s="192"/>
      <c r="B28" s="193"/>
      <c r="C28" s="193"/>
      <c r="D28" s="62"/>
      <c r="E28" s="62"/>
      <c r="F28" s="62"/>
      <c r="G28" s="62"/>
      <c r="H28" s="62"/>
      <c r="I28" s="62"/>
      <c r="J28" s="4"/>
    </row>
    <row r="29" spans="1:10" ht="28.5" customHeight="1" thickBot="1">
      <c r="A29" s="238" t="s">
        <v>65</v>
      </c>
      <c r="B29" s="244"/>
      <c r="C29" s="245"/>
      <c r="D29" s="61">
        <f aca="true" t="shared" si="2" ref="D29:I29">D25+D27</f>
        <v>9095.603612761397</v>
      </c>
      <c r="E29" s="61">
        <f t="shared" si="2"/>
        <v>9469.512232347639</v>
      </c>
      <c r="F29" s="61">
        <f t="shared" si="2"/>
        <v>9978.213398958129</v>
      </c>
      <c r="G29" s="61">
        <f t="shared" si="2"/>
        <v>10449.481841491652</v>
      </c>
      <c r="H29" s="61">
        <f t="shared" si="2"/>
        <v>11165.630359188657</v>
      </c>
      <c r="I29" s="61">
        <f t="shared" si="2"/>
        <v>11530.130134749366</v>
      </c>
      <c r="J29" s="4"/>
    </row>
    <row r="30" spans="1:10" ht="13.5" thickBot="1">
      <c r="A30" s="187"/>
      <c r="B30" s="188"/>
      <c r="C30" s="188"/>
      <c r="D30" s="64"/>
      <c r="E30" s="64"/>
      <c r="F30" s="64"/>
      <c r="G30" s="64"/>
      <c r="H30" s="64"/>
      <c r="I30" s="64"/>
      <c r="J30" s="4"/>
    </row>
    <row r="31" spans="1:10" ht="27.75" customHeight="1" thickBot="1">
      <c r="A31" s="238" t="s">
        <v>66</v>
      </c>
      <c r="B31" s="239"/>
      <c r="C31" s="240"/>
      <c r="D31" s="61">
        <f aca="true" t="shared" si="3" ref="D31:I31">D29/D5</f>
        <v>3031.8678709204655</v>
      </c>
      <c r="E31" s="61">
        <f t="shared" si="3"/>
        <v>2705.5749235278968</v>
      </c>
      <c r="F31" s="61">
        <f t="shared" si="3"/>
        <v>2494.553349739532</v>
      </c>
      <c r="G31" s="61">
        <f t="shared" si="3"/>
        <v>2322.1070758870337</v>
      </c>
      <c r="H31" s="61">
        <f t="shared" si="3"/>
        <v>2030.114610761574</v>
      </c>
      <c r="I31" s="61">
        <f t="shared" si="3"/>
        <v>1921.688355791561</v>
      </c>
      <c r="J31" s="4"/>
    </row>
    <row r="32" spans="1:10" ht="13.5" thickBot="1">
      <c r="A32" s="205"/>
      <c r="B32" s="206"/>
      <c r="C32" s="206"/>
      <c r="D32" s="64"/>
      <c r="E32" s="64"/>
      <c r="F32" s="64"/>
      <c r="G32" s="64"/>
      <c r="H32" s="64"/>
      <c r="I32" s="64"/>
      <c r="J32" s="4"/>
    </row>
    <row r="33" spans="1:10" ht="13.5" thickBot="1">
      <c r="A33" s="203" t="s">
        <v>67</v>
      </c>
      <c r="B33" s="204"/>
      <c r="C33" s="204"/>
      <c r="D33" s="61">
        <f>'Pryse + Sensatiwiteitsanalise'!D4</f>
        <v>278</v>
      </c>
      <c r="E33" s="61">
        <f>$D$33</f>
        <v>278</v>
      </c>
      <c r="F33" s="61">
        <f>$D$33</f>
        <v>278</v>
      </c>
      <c r="G33" s="61">
        <f>$D$33</f>
        <v>278</v>
      </c>
      <c r="H33" s="61">
        <f>$D$33</f>
        <v>278</v>
      </c>
      <c r="I33" s="61">
        <f>$D$33</f>
        <v>278</v>
      </c>
      <c r="J33" s="4"/>
    </row>
    <row r="34" spans="1:9" ht="13.5" thickBot="1">
      <c r="A34" s="205"/>
      <c r="B34" s="206"/>
      <c r="C34" s="206"/>
      <c r="D34" s="64"/>
      <c r="E34" s="64"/>
      <c r="F34" s="64"/>
      <c r="G34" s="64"/>
      <c r="H34" s="64"/>
      <c r="I34" s="64"/>
    </row>
    <row r="35" spans="1:9" ht="13.5" thickBot="1">
      <c r="A35" s="241" t="s">
        <v>68</v>
      </c>
      <c r="B35" s="242"/>
      <c r="C35" s="243"/>
      <c r="D35" s="63">
        <f aca="true" t="shared" si="4" ref="D35:I35">D31+D33</f>
        <v>3309.8678709204655</v>
      </c>
      <c r="E35" s="63">
        <f t="shared" si="4"/>
        <v>2983.5749235278968</v>
      </c>
      <c r="F35" s="63">
        <f t="shared" si="4"/>
        <v>2772.553349739532</v>
      </c>
      <c r="G35" s="63">
        <f t="shared" si="4"/>
        <v>2600.1070758870337</v>
      </c>
      <c r="H35" s="63">
        <f t="shared" si="4"/>
        <v>2308.114610761574</v>
      </c>
      <c r="I35" s="63">
        <f t="shared" si="4"/>
        <v>2199.6883557915608</v>
      </c>
    </row>
    <row r="36" spans="1:9" ht="13.5" thickBot="1">
      <c r="A36" s="200" t="s">
        <v>69</v>
      </c>
      <c r="B36" s="201"/>
      <c r="C36" s="7"/>
      <c r="D36" s="63">
        <f>'Pryse + Sensatiwiteitsanalise'!B4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</row>
    <row r="37" ht="12.75">
      <c r="I37" s="4"/>
    </row>
    <row r="38" spans="1:9" ht="13.5" thickBot="1">
      <c r="A38" s="4"/>
      <c r="B38" s="26"/>
      <c r="C38" s="4"/>
      <c r="D38" s="4"/>
      <c r="E38" s="4"/>
      <c r="F38" s="4"/>
      <c r="G38" s="4"/>
      <c r="H38" s="4"/>
      <c r="I38" s="15"/>
    </row>
    <row r="39" spans="1:9" ht="12.75">
      <c r="A39" s="1" t="s">
        <v>30</v>
      </c>
      <c r="B39" s="27"/>
      <c r="C39" s="28"/>
      <c r="D39" s="28"/>
      <c r="E39" s="28"/>
      <c r="F39" s="28"/>
      <c r="G39" s="28"/>
      <c r="H39" s="29"/>
      <c r="I39" s="15"/>
    </row>
    <row r="40" spans="1:9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P41" s="65"/>
    </row>
    <row r="42" spans="1:9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</row>
    <row r="43" spans="1:9" ht="13.5" thickBot="1">
      <c r="A43" s="5"/>
      <c r="B43" s="26"/>
      <c r="C43" s="4"/>
      <c r="D43" s="4"/>
      <c r="E43" s="4"/>
      <c r="F43" s="4"/>
      <c r="G43" s="4"/>
      <c r="H43" s="45"/>
      <c r="I43" s="15"/>
    </row>
    <row r="44" spans="1:9" ht="13.5" thickBot="1">
      <c r="A44" s="5"/>
      <c r="B44" s="46"/>
      <c r="C44" s="47">
        <v>2522</v>
      </c>
      <c r="D44" s="47">
        <v>2622</v>
      </c>
      <c r="E44" s="48">
        <v>2722</v>
      </c>
      <c r="F44" s="47">
        <v>2822</v>
      </c>
      <c r="G44" s="49">
        <v>2922</v>
      </c>
      <c r="H44" s="45"/>
      <c r="I44" s="15"/>
    </row>
    <row r="45" spans="1:9" ht="12.75">
      <c r="A45" s="5"/>
      <c r="B45" s="50">
        <v>3</v>
      </c>
      <c r="C45" s="73">
        <v>-1529.603612761397</v>
      </c>
      <c r="D45" s="74">
        <v>-1229.603612761397</v>
      </c>
      <c r="E45" s="74">
        <v>-929.603612761397</v>
      </c>
      <c r="F45" s="74">
        <v>-629.603612761397</v>
      </c>
      <c r="G45" s="75">
        <v>-329.603612761397</v>
      </c>
      <c r="H45" s="45"/>
      <c r="I45" s="15"/>
    </row>
    <row r="46" spans="1:9" ht="12.75">
      <c r="A46" s="5"/>
      <c r="B46" s="51"/>
      <c r="C46" s="76"/>
      <c r="D46" s="69"/>
      <c r="E46" s="69"/>
      <c r="F46" s="69"/>
      <c r="G46" s="70"/>
      <c r="H46" s="45"/>
      <c r="I46" s="15"/>
    </row>
    <row r="47" spans="1:9" ht="12.75">
      <c r="A47" s="5"/>
      <c r="B47" s="50">
        <v>3.5</v>
      </c>
      <c r="C47" s="76">
        <v>-642.5122323476389</v>
      </c>
      <c r="D47" s="69">
        <v>-292.5122323476389</v>
      </c>
      <c r="E47" s="69">
        <v>57.48776765236107</v>
      </c>
      <c r="F47" s="69">
        <v>407.4877676523611</v>
      </c>
      <c r="G47" s="70">
        <v>757.4877676523611</v>
      </c>
      <c r="H47" s="45"/>
      <c r="I47" s="15"/>
    </row>
    <row r="48" spans="1:9" ht="13.5" thickBot="1">
      <c r="A48" s="52"/>
      <c r="B48" s="51"/>
      <c r="C48" s="76"/>
      <c r="D48" s="69"/>
      <c r="E48" s="69"/>
      <c r="F48" s="69"/>
      <c r="G48" s="70"/>
      <c r="H48" s="45"/>
      <c r="I48" s="15"/>
    </row>
    <row r="49" spans="1:9" ht="13.5" thickBot="1">
      <c r="A49" s="53" t="s">
        <v>4</v>
      </c>
      <c r="B49" s="54">
        <v>4</v>
      </c>
      <c r="C49" s="76">
        <v>109.78660104187111</v>
      </c>
      <c r="D49" s="69">
        <v>509.7866010418711</v>
      </c>
      <c r="E49" s="78">
        <v>909.7866010418711</v>
      </c>
      <c r="F49" s="69">
        <v>1309.786601041871</v>
      </c>
      <c r="G49" s="70">
        <v>1709.786601041871</v>
      </c>
      <c r="H49" s="45"/>
      <c r="I49" s="15"/>
    </row>
    <row r="50" spans="1:9" ht="12.75">
      <c r="A50" s="5"/>
      <c r="B50" s="51"/>
      <c r="C50" s="76"/>
      <c r="D50" s="69"/>
      <c r="E50" s="69"/>
      <c r="F50" s="69"/>
      <c r="G50" s="70"/>
      <c r="H50" s="45"/>
      <c r="I50" s="15"/>
    </row>
    <row r="51" spans="1:9" ht="12.75">
      <c r="A51" s="5"/>
      <c r="B51" s="50">
        <v>4.5</v>
      </c>
      <c r="C51" s="76">
        <v>899.5181585083483</v>
      </c>
      <c r="D51" s="69">
        <v>1349.5181585083483</v>
      </c>
      <c r="E51" s="69">
        <v>1799.5181585083483</v>
      </c>
      <c r="F51" s="69">
        <v>2249.5181585083483</v>
      </c>
      <c r="G51" s="70">
        <v>2699.5181585083483</v>
      </c>
      <c r="H51" s="45"/>
      <c r="I51" s="15"/>
    </row>
    <row r="52" spans="1:9" ht="12.75">
      <c r="A52" s="5"/>
      <c r="B52" s="51"/>
      <c r="C52" s="76"/>
      <c r="D52" s="69"/>
      <c r="E52" s="69"/>
      <c r="F52" s="69"/>
      <c r="G52" s="70"/>
      <c r="H52" s="45"/>
      <c r="I52" s="15"/>
    </row>
    <row r="53" spans="1:9" ht="12.75">
      <c r="A53" s="5"/>
      <c r="B53" s="50">
        <v>5.5</v>
      </c>
      <c r="C53" s="76">
        <v>2705.369640811343</v>
      </c>
      <c r="D53" s="69">
        <v>3255.369640811343</v>
      </c>
      <c r="E53" s="69">
        <v>3805.369640811343</v>
      </c>
      <c r="F53" s="69">
        <v>4355.369640811343</v>
      </c>
      <c r="G53" s="70">
        <v>4905.369640811343</v>
      </c>
      <c r="H53" s="45"/>
      <c r="I53" s="15"/>
    </row>
    <row r="54" spans="1:9" ht="12.75">
      <c r="A54" s="5"/>
      <c r="B54" s="51"/>
      <c r="C54" s="76"/>
      <c r="D54" s="69"/>
      <c r="E54" s="69"/>
      <c r="F54" s="69"/>
      <c r="G54" s="70"/>
      <c r="H54" s="45"/>
      <c r="I54" s="15"/>
    </row>
    <row r="55" spans="1:9" ht="13.5" thickBot="1">
      <c r="A55" s="5"/>
      <c r="B55" s="55">
        <v>6</v>
      </c>
      <c r="C55" s="80">
        <v>3601.8698652506337</v>
      </c>
      <c r="D55" s="81">
        <v>4201.869865250634</v>
      </c>
      <c r="E55" s="81">
        <v>4801.869865250634</v>
      </c>
      <c r="F55" s="81">
        <v>5401.869865250634</v>
      </c>
      <c r="G55" s="82">
        <v>6001.869865250634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208" t="s">
        <v>71</v>
      </c>
      <c r="B57" s="183"/>
      <c r="C57" s="183"/>
      <c r="D57" s="183"/>
      <c r="E57" s="183"/>
      <c r="F57" s="183"/>
      <c r="G57" s="183"/>
      <c r="H57" s="182"/>
      <c r="I57" s="102"/>
      <c r="J57" s="102"/>
    </row>
    <row r="58" spans="1:10" ht="15">
      <c r="A58" s="181" t="s">
        <v>72</v>
      </c>
      <c r="B58" s="180"/>
      <c r="C58" s="180"/>
      <c r="D58" s="180"/>
      <c r="E58" s="180"/>
      <c r="F58" s="180"/>
      <c r="G58" s="180"/>
      <c r="H58" s="179"/>
      <c r="I58" s="102"/>
      <c r="J58" s="102"/>
    </row>
    <row r="59" spans="1:10" ht="15.75" thickBot="1">
      <c r="A59" s="178" t="s">
        <v>73</v>
      </c>
      <c r="B59" s="210"/>
      <c r="C59" s="210"/>
      <c r="D59" s="210"/>
      <c r="E59" s="210"/>
      <c r="F59" s="210"/>
      <c r="G59" s="210"/>
      <c r="H59" s="209"/>
      <c r="I59" s="102"/>
      <c r="J59" s="102"/>
    </row>
    <row r="60" spans="1:8" ht="12.75">
      <c r="A60" s="226" t="s">
        <v>74</v>
      </c>
      <c r="B60" s="227"/>
      <c r="C60" s="227"/>
      <c r="D60" s="227"/>
      <c r="E60" s="227"/>
      <c r="F60" s="227"/>
      <c r="G60" s="227"/>
      <c r="H60" s="228"/>
    </row>
    <row r="61" spans="1:8" ht="12.75">
      <c r="A61" s="229"/>
      <c r="B61" s="230"/>
      <c r="C61" s="230"/>
      <c r="D61" s="230"/>
      <c r="E61" s="230"/>
      <c r="F61" s="230"/>
      <c r="G61" s="230"/>
      <c r="H61" s="231"/>
    </row>
    <row r="62" spans="1:8" ht="12.75">
      <c r="A62" s="229"/>
      <c r="B62" s="230"/>
      <c r="C62" s="230"/>
      <c r="D62" s="230"/>
      <c r="E62" s="230"/>
      <c r="F62" s="230"/>
      <c r="G62" s="230"/>
      <c r="H62" s="231"/>
    </row>
    <row r="63" spans="1:8" ht="13.5" thickBot="1">
      <c r="A63" s="232"/>
      <c r="B63" s="233"/>
      <c r="C63" s="233"/>
      <c r="D63" s="233"/>
      <c r="E63" s="233"/>
      <c r="F63" s="233"/>
      <c r="G63" s="233"/>
      <c r="H63" s="234"/>
    </row>
  </sheetData>
  <sheetProtection/>
  <mergeCells count="10">
    <mergeCell ref="A60:H63"/>
    <mergeCell ref="A1:D1"/>
    <mergeCell ref="E1:G1"/>
    <mergeCell ref="A31:C31"/>
    <mergeCell ref="A35:C35"/>
    <mergeCell ref="A29:C29"/>
    <mergeCell ref="A3:C3"/>
    <mergeCell ref="A8:C8"/>
    <mergeCell ref="A25:C25"/>
    <mergeCell ref="A27:C27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300" verticalDpi="3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0.75" customHeight="1" thickBot="1">
      <c r="A1" s="235" t="s">
        <v>77</v>
      </c>
      <c r="B1" s="236"/>
      <c r="C1" s="236"/>
      <c r="D1" s="236"/>
      <c r="E1" s="237" t="s">
        <v>70</v>
      </c>
      <c r="F1" s="237"/>
      <c r="G1" s="237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4.75" customHeight="1" thickBot="1">
      <c r="A3" s="241" t="s">
        <v>42</v>
      </c>
      <c r="B3" s="242"/>
      <c r="C3" s="242"/>
      <c r="D3" s="58"/>
      <c r="E3" s="71">
        <f>'Pryse + Sensatiwiteitsanalise'!B19</f>
        <v>2422</v>
      </c>
      <c r="F3" s="58" t="s">
        <v>3</v>
      </c>
      <c r="G3" s="20"/>
      <c r="H3" s="20"/>
      <c r="I3" s="7"/>
      <c r="K3" s="4"/>
    </row>
    <row r="4" spans="1:11" ht="13.5" thickBot="1">
      <c r="A4" s="202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2" ht="13.5" thickBot="1">
      <c r="A5" s="184" t="s">
        <v>43</v>
      </c>
      <c r="B5" s="9"/>
      <c r="C5" s="9"/>
      <c r="D5" s="89">
        <v>3</v>
      </c>
      <c r="E5" s="89">
        <v>3.5</v>
      </c>
      <c r="F5" s="89">
        <v>4</v>
      </c>
      <c r="G5" s="89">
        <v>4.5</v>
      </c>
      <c r="H5" s="89">
        <v>5.5</v>
      </c>
      <c r="I5" s="89">
        <v>6</v>
      </c>
      <c r="J5" s="4"/>
      <c r="K5" s="173"/>
      <c r="L5" s="4"/>
    </row>
    <row r="6" spans="1:12" ht="13.5" thickBot="1">
      <c r="A6" s="185" t="s">
        <v>44</v>
      </c>
      <c r="B6" s="204"/>
      <c r="C6" s="207"/>
      <c r="D6" s="67">
        <f aca="true" t="shared" si="0" ref="D6:I6">$E$3*D5</f>
        <v>7266</v>
      </c>
      <c r="E6" s="67">
        <f t="shared" si="0"/>
        <v>8477</v>
      </c>
      <c r="F6" s="67">
        <f t="shared" si="0"/>
        <v>9688</v>
      </c>
      <c r="G6" s="67">
        <f t="shared" si="0"/>
        <v>10899</v>
      </c>
      <c r="H6" s="67">
        <f t="shared" si="0"/>
        <v>13321</v>
      </c>
      <c r="I6" s="67">
        <f t="shared" si="0"/>
        <v>14532</v>
      </c>
      <c r="J6" s="4"/>
      <c r="K6" s="174"/>
      <c r="L6" s="4"/>
    </row>
    <row r="7" spans="1:13" ht="15.75" thickBot="1">
      <c r="A7" s="205"/>
      <c r="B7" s="206"/>
      <c r="C7" s="206"/>
      <c r="D7" s="23"/>
      <c r="E7" s="23"/>
      <c r="F7" s="23"/>
      <c r="G7" s="23"/>
      <c r="H7" s="23"/>
      <c r="I7" s="23"/>
      <c r="J7" s="4"/>
      <c r="K7" s="252" t="s">
        <v>90</v>
      </c>
      <c r="L7" s="252"/>
      <c r="M7" s="252"/>
    </row>
    <row r="8" spans="1:13" ht="15.75" thickBot="1">
      <c r="A8" s="246" t="s">
        <v>45</v>
      </c>
      <c r="B8" s="247"/>
      <c r="C8" s="248"/>
      <c r="D8" s="24"/>
      <c r="E8" s="24"/>
      <c r="F8" s="24"/>
      <c r="G8" s="24"/>
      <c r="H8" s="24"/>
      <c r="I8" s="24"/>
      <c r="J8" s="4"/>
      <c r="K8" s="215" t="s">
        <v>87</v>
      </c>
      <c r="L8" s="215" t="s">
        <v>88</v>
      </c>
      <c r="M8" s="215" t="s">
        <v>89</v>
      </c>
    </row>
    <row r="9" spans="1:13" ht="15">
      <c r="A9" s="189" t="s">
        <v>46</v>
      </c>
      <c r="B9" s="190"/>
      <c r="C9" s="190"/>
      <c r="D9" s="59">
        <v>1268.88125</v>
      </c>
      <c r="E9" s="59">
        <v>1366.4874999999997</v>
      </c>
      <c r="F9" s="59">
        <v>1464.09375</v>
      </c>
      <c r="G9" s="59">
        <v>1464.09375</v>
      </c>
      <c r="H9" s="59">
        <v>1610.5031249999997</v>
      </c>
      <c r="I9" s="59">
        <v>1610.5031249999997</v>
      </c>
      <c r="J9" s="4"/>
      <c r="K9" s="216">
        <f>D5</f>
        <v>3</v>
      </c>
      <c r="L9" s="216">
        <f>D25</f>
        <v>7554.014571687553</v>
      </c>
      <c r="M9" s="216">
        <f>D27</f>
        <v>2369.2414333666666</v>
      </c>
    </row>
    <row r="10" spans="1:13" ht="15">
      <c r="A10" s="186" t="s">
        <v>47</v>
      </c>
      <c r="B10" s="191"/>
      <c r="C10" s="191"/>
      <c r="D10" s="60">
        <v>1528.1999999999998</v>
      </c>
      <c r="E10" s="60">
        <v>1685.9</v>
      </c>
      <c r="F10" s="60">
        <v>1959.9999999999998</v>
      </c>
      <c r="G10" s="60">
        <v>2272.9</v>
      </c>
      <c r="H10" s="60">
        <v>2602.8999999999996</v>
      </c>
      <c r="I10" s="60">
        <v>2823.6</v>
      </c>
      <c r="J10" s="4"/>
      <c r="K10" s="216">
        <f>E5</f>
        <v>3.5</v>
      </c>
      <c r="L10" s="216">
        <f>E25</f>
        <v>7961.341306356512</v>
      </c>
      <c r="M10" s="216">
        <f>E27</f>
        <v>2369.2414333666666</v>
      </c>
    </row>
    <row r="11" spans="1:13" ht="15">
      <c r="A11" s="186" t="s">
        <v>48</v>
      </c>
      <c r="B11" s="191"/>
      <c r="C11" s="191"/>
      <c r="D11" s="60">
        <v>560</v>
      </c>
      <c r="E11" s="60">
        <v>560</v>
      </c>
      <c r="F11" s="60">
        <v>560</v>
      </c>
      <c r="G11" s="60">
        <v>560</v>
      </c>
      <c r="H11" s="60">
        <v>560</v>
      </c>
      <c r="I11" s="60">
        <v>560</v>
      </c>
      <c r="J11" s="4"/>
      <c r="K11" s="216">
        <f>F5</f>
        <v>4</v>
      </c>
      <c r="L11" s="216">
        <f>F25</f>
        <v>8503.460588049717</v>
      </c>
      <c r="M11" s="216">
        <f>F27</f>
        <v>2369.2414333666666</v>
      </c>
    </row>
    <row r="12" spans="1:13" ht="15">
      <c r="A12" s="186" t="s">
        <v>49</v>
      </c>
      <c r="B12" s="191"/>
      <c r="C12" s="191"/>
      <c r="D12" s="60">
        <v>873.5131050000001</v>
      </c>
      <c r="E12" s="60">
        <v>890.4333550000001</v>
      </c>
      <c r="F12" s="60">
        <v>907.3536050000001</v>
      </c>
      <c r="G12" s="60">
        <v>924.2738550000001</v>
      </c>
      <c r="H12" s="60">
        <v>951.7293550000002</v>
      </c>
      <c r="I12" s="60">
        <v>968.6496050000001</v>
      </c>
      <c r="J12" s="4"/>
      <c r="K12" s="216">
        <f>G5</f>
        <v>4.5</v>
      </c>
      <c r="L12" s="216">
        <f>G25</f>
        <v>8977.48155171505</v>
      </c>
      <c r="M12" s="216">
        <f>G27</f>
        <v>2369.2414333666666</v>
      </c>
    </row>
    <row r="13" spans="1:13" ht="15">
      <c r="A13" s="186" t="s">
        <v>50</v>
      </c>
      <c r="B13" s="191"/>
      <c r="C13" s="191"/>
      <c r="D13" s="60">
        <v>637.2881</v>
      </c>
      <c r="E13" s="60">
        <v>640.3531</v>
      </c>
      <c r="F13" s="60">
        <v>643.4181000000001</v>
      </c>
      <c r="G13" s="60">
        <v>646.4831</v>
      </c>
      <c r="H13" s="60">
        <v>652.6131</v>
      </c>
      <c r="I13" s="60">
        <v>655.6781000000001</v>
      </c>
      <c r="J13" s="4"/>
      <c r="K13" s="216">
        <f>H5</f>
        <v>5.5</v>
      </c>
      <c r="L13" s="216">
        <f>H25</f>
        <v>9745.133502602033</v>
      </c>
      <c r="M13" s="216">
        <f>H27</f>
        <v>2369.2414333666666</v>
      </c>
    </row>
    <row r="14" spans="1:13" ht="15">
      <c r="A14" s="186" t="s">
        <v>51</v>
      </c>
      <c r="B14" s="191"/>
      <c r="C14" s="191"/>
      <c r="D14" s="60">
        <v>384.8366</v>
      </c>
      <c r="E14" s="60">
        <v>384.8366</v>
      </c>
      <c r="F14" s="60">
        <v>384.8366</v>
      </c>
      <c r="G14" s="60">
        <v>384.8366</v>
      </c>
      <c r="H14" s="60">
        <v>384.8366</v>
      </c>
      <c r="I14" s="60">
        <v>384.8366</v>
      </c>
      <c r="J14" s="4"/>
      <c r="K14" s="216">
        <f>I5</f>
        <v>6</v>
      </c>
      <c r="L14" s="216">
        <f>I25</f>
        <v>10112.385799294552</v>
      </c>
      <c r="M14" s="216">
        <f>I27</f>
        <v>2369.2414333666666</v>
      </c>
    </row>
    <row r="15" spans="1:12" ht="12.75">
      <c r="A15" s="186" t="s">
        <v>52</v>
      </c>
      <c r="B15" s="191"/>
      <c r="C15" s="191"/>
      <c r="D15" s="60">
        <v>631.813276</v>
      </c>
      <c r="E15" s="60">
        <v>631.813276</v>
      </c>
      <c r="F15" s="60">
        <v>631.813276</v>
      </c>
      <c r="G15" s="60">
        <v>631.813276</v>
      </c>
      <c r="H15" s="60">
        <v>631.813276</v>
      </c>
      <c r="I15" s="60">
        <v>631.813276</v>
      </c>
      <c r="J15" s="4"/>
      <c r="K15" s="69"/>
      <c r="L15" s="66"/>
    </row>
    <row r="16" spans="1:12" ht="12.75">
      <c r="A16" s="186" t="s">
        <v>53</v>
      </c>
      <c r="B16" s="191"/>
      <c r="C16" s="191"/>
      <c r="D16" s="60">
        <v>159.237</v>
      </c>
      <c r="E16" s="60">
        <v>185.7765</v>
      </c>
      <c r="F16" s="60">
        <v>212.316</v>
      </c>
      <c r="G16" s="60">
        <v>238.8555</v>
      </c>
      <c r="H16" s="60">
        <v>291.9345</v>
      </c>
      <c r="I16" s="60">
        <v>318.474</v>
      </c>
      <c r="J16" s="4"/>
      <c r="K16" s="69"/>
      <c r="L16" s="66"/>
    </row>
    <row r="17" spans="1:12" ht="12.75">
      <c r="A17" s="186" t="s">
        <v>55</v>
      </c>
      <c r="B17" s="191"/>
      <c r="C17" s="191"/>
      <c r="D17" s="60">
        <v>479.29929875091847</v>
      </c>
      <c r="E17" s="60">
        <v>505.14402229977946</v>
      </c>
      <c r="F17" s="60">
        <v>539.5412807494489</v>
      </c>
      <c r="G17" s="60">
        <v>569.6177272961057</v>
      </c>
      <c r="H17" s="60">
        <v>618.3249462527552</v>
      </c>
      <c r="I17" s="60">
        <v>641.6269622336517</v>
      </c>
      <c r="J17" s="4"/>
      <c r="K17" s="69"/>
      <c r="L17" s="66"/>
    </row>
    <row r="18" spans="1:12" ht="12.75">
      <c r="A18" s="186" t="s">
        <v>56</v>
      </c>
      <c r="B18" s="191"/>
      <c r="C18" s="191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69"/>
      <c r="L18" s="66"/>
    </row>
    <row r="19" spans="1:12" ht="12.75">
      <c r="A19" s="186" t="s">
        <v>57</v>
      </c>
      <c r="B19" s="191"/>
      <c r="C19" s="191"/>
      <c r="D19" s="60">
        <v>299.49412500000005</v>
      </c>
      <c r="E19" s="60">
        <v>349.40981250000004</v>
      </c>
      <c r="F19" s="60">
        <v>399.3255000000001</v>
      </c>
      <c r="G19" s="60">
        <v>449.2411875</v>
      </c>
      <c r="H19" s="60">
        <v>549.0725625000001</v>
      </c>
      <c r="I19" s="60">
        <v>598.9882500000001</v>
      </c>
      <c r="J19" s="4"/>
      <c r="K19" s="69"/>
      <c r="L19" s="66"/>
    </row>
    <row r="20" spans="1:12" ht="12.75">
      <c r="A20" s="186" t="s">
        <v>58</v>
      </c>
      <c r="B20" s="191"/>
      <c r="C20" s="191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69"/>
      <c r="L20" s="66"/>
    </row>
    <row r="21" spans="1:12" ht="12.75">
      <c r="A21" s="186" t="s">
        <v>59</v>
      </c>
      <c r="B21" s="191"/>
      <c r="C21" s="191"/>
      <c r="D21" s="60">
        <v>180</v>
      </c>
      <c r="E21" s="60">
        <v>180</v>
      </c>
      <c r="F21" s="60">
        <v>180</v>
      </c>
      <c r="G21" s="60">
        <v>180</v>
      </c>
      <c r="H21" s="60">
        <v>180</v>
      </c>
      <c r="I21" s="60">
        <v>180</v>
      </c>
      <c r="J21" s="4"/>
      <c r="K21" s="69"/>
      <c r="L21" s="66"/>
    </row>
    <row r="22" spans="1:12" ht="12.75">
      <c r="A22" s="186" t="s">
        <v>60</v>
      </c>
      <c r="B22" s="191"/>
      <c r="C22" s="191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69"/>
      <c r="L22" s="66"/>
    </row>
    <row r="23" spans="1:12" ht="12.75">
      <c r="A23" s="186" t="s">
        <v>61</v>
      </c>
      <c r="B23" s="191"/>
      <c r="C23" s="191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69"/>
      <c r="L23" s="66"/>
    </row>
    <row r="24" spans="1:12" ht="13.5" thickBot="1">
      <c r="A24" s="186" t="s">
        <v>62</v>
      </c>
      <c r="B24" s="191"/>
      <c r="C24" s="191"/>
      <c r="D24" s="60">
        <v>551.4518169366348</v>
      </c>
      <c r="E24" s="60">
        <v>581.1871405567326</v>
      </c>
      <c r="F24" s="60">
        <v>620.762476300269</v>
      </c>
      <c r="G24" s="60">
        <v>655.3665559189434</v>
      </c>
      <c r="H24" s="60">
        <v>711.4060378492792</v>
      </c>
      <c r="I24" s="60">
        <v>738.2158810609002</v>
      </c>
      <c r="J24" s="4"/>
      <c r="K24" s="69"/>
      <c r="L24" s="66"/>
    </row>
    <row r="25" spans="1:12" ht="13.5" thickBot="1">
      <c r="A25" s="238" t="s">
        <v>63</v>
      </c>
      <c r="B25" s="244"/>
      <c r="C25" s="245"/>
      <c r="D25" s="61">
        <f aca="true" t="shared" si="1" ref="D25:I25">SUM(D8:D24)</f>
        <v>7554.014571687553</v>
      </c>
      <c r="E25" s="61">
        <f t="shared" si="1"/>
        <v>7961.341306356512</v>
      </c>
      <c r="F25" s="61">
        <f t="shared" si="1"/>
        <v>8503.460588049717</v>
      </c>
      <c r="G25" s="61">
        <f t="shared" si="1"/>
        <v>8977.48155171505</v>
      </c>
      <c r="H25" s="61">
        <f t="shared" si="1"/>
        <v>9745.133502602033</v>
      </c>
      <c r="I25" s="61">
        <f t="shared" si="1"/>
        <v>10112.385799294552</v>
      </c>
      <c r="J25" s="4"/>
      <c r="K25" s="69"/>
      <c r="L25" s="66"/>
    </row>
    <row r="26" spans="1:13" ht="13.5" thickBot="1">
      <c r="A26" s="192"/>
      <c r="B26" s="193"/>
      <c r="C26" s="193"/>
      <c r="D26" s="62"/>
      <c r="E26" s="62"/>
      <c r="F26" s="62"/>
      <c r="G26" s="62"/>
      <c r="H26" s="62"/>
      <c r="I26" s="62"/>
      <c r="J26" s="4"/>
      <c r="K26" s="4"/>
      <c r="L26" s="4"/>
      <c r="M26" s="4"/>
    </row>
    <row r="27" spans="1:11" ht="13.5" thickBot="1">
      <c r="A27" s="249" t="s">
        <v>64</v>
      </c>
      <c r="B27" s="250"/>
      <c r="C27" s="251"/>
      <c r="D27" s="61">
        <v>2369.2414333666666</v>
      </c>
      <c r="E27" s="61">
        <v>2369.2414333666666</v>
      </c>
      <c r="F27" s="61">
        <v>2369.2414333666666</v>
      </c>
      <c r="G27" s="61">
        <v>2369.2414333666666</v>
      </c>
      <c r="H27" s="61">
        <v>2369.2414333666666</v>
      </c>
      <c r="I27" s="61">
        <v>2369.2414333666666</v>
      </c>
      <c r="J27" s="4"/>
      <c r="K27" s="15"/>
    </row>
    <row r="28" spans="1:11" ht="13.5" thickBot="1">
      <c r="A28" s="192"/>
      <c r="B28" s="193"/>
      <c r="C28" s="193"/>
      <c r="D28" s="62"/>
      <c r="E28" s="62"/>
      <c r="F28" s="62"/>
      <c r="G28" s="62"/>
      <c r="H28" s="62"/>
      <c r="I28" s="62"/>
      <c r="J28" s="4"/>
      <c r="K28" s="4"/>
    </row>
    <row r="29" spans="1:11" ht="28.5" customHeight="1" thickBot="1">
      <c r="A29" s="238" t="s">
        <v>65</v>
      </c>
      <c r="B29" s="244"/>
      <c r="C29" s="245"/>
      <c r="D29" s="61">
        <f aca="true" t="shared" si="2" ref="D29:I29">D25+D27</f>
        <v>9923.25600505422</v>
      </c>
      <c r="E29" s="61">
        <f t="shared" si="2"/>
        <v>10330.582739723179</v>
      </c>
      <c r="F29" s="61">
        <f t="shared" si="2"/>
        <v>10872.702021416382</v>
      </c>
      <c r="G29" s="61">
        <f t="shared" si="2"/>
        <v>11346.722985081717</v>
      </c>
      <c r="H29" s="61">
        <f t="shared" si="2"/>
        <v>12114.374935968699</v>
      </c>
      <c r="I29" s="61">
        <f t="shared" si="2"/>
        <v>12481.62723266122</v>
      </c>
      <c r="J29" s="4"/>
      <c r="K29" s="4"/>
    </row>
    <row r="30" spans="1:11" ht="13.5" thickBot="1">
      <c r="A30" s="187"/>
      <c r="B30" s="188"/>
      <c r="C30" s="188"/>
      <c r="D30" s="64"/>
      <c r="E30" s="64"/>
      <c r="F30" s="64"/>
      <c r="G30" s="64"/>
      <c r="H30" s="64"/>
      <c r="I30" s="64"/>
      <c r="J30" s="4"/>
      <c r="K30" s="4"/>
    </row>
    <row r="31" spans="1:11" ht="27.75" customHeight="1" thickBot="1">
      <c r="A31" s="238" t="s">
        <v>66</v>
      </c>
      <c r="B31" s="239"/>
      <c r="C31" s="240"/>
      <c r="D31" s="61">
        <f aca="true" t="shared" si="3" ref="D31:I31">D29/D5</f>
        <v>3307.7520016847398</v>
      </c>
      <c r="E31" s="61">
        <f t="shared" si="3"/>
        <v>2951.595068492337</v>
      </c>
      <c r="F31" s="61">
        <f t="shared" si="3"/>
        <v>2718.1755053540955</v>
      </c>
      <c r="G31" s="61">
        <f t="shared" si="3"/>
        <v>2521.493996684826</v>
      </c>
      <c r="H31" s="61">
        <f t="shared" si="3"/>
        <v>2202.613624721582</v>
      </c>
      <c r="I31" s="61">
        <f t="shared" si="3"/>
        <v>2080.2712054435365</v>
      </c>
      <c r="J31" s="4"/>
      <c r="K31" s="15"/>
    </row>
    <row r="32" spans="1:11" ht="13.5" thickBot="1">
      <c r="A32" s="205"/>
      <c r="B32" s="206"/>
      <c r="C32" s="206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203" t="s">
        <v>67</v>
      </c>
      <c r="B33" s="204"/>
      <c r="C33" s="204"/>
      <c r="D33" s="61">
        <f>'Pryse + Sensatiwiteitsanalise'!D4</f>
        <v>278</v>
      </c>
      <c r="E33" s="61">
        <f>$D$33</f>
        <v>278</v>
      </c>
      <c r="F33" s="61">
        <f>$D$33</f>
        <v>278</v>
      </c>
      <c r="G33" s="61">
        <f>$D$33</f>
        <v>278</v>
      </c>
      <c r="H33" s="61">
        <f>$D$33</f>
        <v>278</v>
      </c>
      <c r="I33" s="61">
        <f>$D$33</f>
        <v>278</v>
      </c>
      <c r="J33" s="4"/>
      <c r="K33" s="15"/>
    </row>
    <row r="34" spans="1:11" ht="13.5" thickBot="1">
      <c r="A34" s="205"/>
      <c r="B34" s="206"/>
      <c r="C34" s="206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41" t="s">
        <v>68</v>
      </c>
      <c r="B35" s="242"/>
      <c r="C35" s="243"/>
      <c r="D35" s="63">
        <f aca="true" t="shared" si="4" ref="D35:I35">D31+D33</f>
        <v>3585.7520016847398</v>
      </c>
      <c r="E35" s="63">
        <f t="shared" si="4"/>
        <v>3229.595068492337</v>
      </c>
      <c r="F35" s="63">
        <f t="shared" si="4"/>
        <v>2996.1755053540955</v>
      </c>
      <c r="G35" s="63">
        <f t="shared" si="4"/>
        <v>2799.493996684826</v>
      </c>
      <c r="H35" s="63">
        <f t="shared" si="4"/>
        <v>2480.613624721582</v>
      </c>
      <c r="I35" s="63">
        <f t="shared" si="4"/>
        <v>2358.2712054435365</v>
      </c>
      <c r="J35" s="4"/>
      <c r="K35" s="15"/>
    </row>
    <row r="36" spans="1:10" ht="13.5" thickBot="1">
      <c r="A36" s="200" t="s">
        <v>69</v>
      </c>
      <c r="B36" s="201"/>
      <c r="C36" s="7"/>
      <c r="D36" s="63">
        <f>'Pryse + Sensatiwiteitsanalise'!B4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36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6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  <c r="P40" s="65"/>
    </row>
    <row r="41" spans="1:10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2522</v>
      </c>
      <c r="D44" s="47">
        <v>2622</v>
      </c>
      <c r="E44" s="48">
        <v>2722</v>
      </c>
      <c r="F44" s="47">
        <v>2822</v>
      </c>
      <c r="G44" s="49">
        <v>2922</v>
      </c>
      <c r="H44" s="45"/>
      <c r="I44" s="15"/>
      <c r="J44" s="4"/>
    </row>
    <row r="45" spans="1:10" ht="12.75">
      <c r="A45" s="5"/>
      <c r="B45" s="50">
        <v>3</v>
      </c>
      <c r="C45" s="73">
        <v>-2357.2560050542197</v>
      </c>
      <c r="D45" s="74">
        <v>-2057.2560050542197</v>
      </c>
      <c r="E45" s="74">
        <v>-1757.2560050542197</v>
      </c>
      <c r="F45" s="74">
        <v>-1457.2560050542197</v>
      </c>
      <c r="G45" s="75">
        <v>-1157.2560050542197</v>
      </c>
      <c r="H45" s="45"/>
      <c r="I45" s="15"/>
      <c r="J45" s="4"/>
    </row>
    <row r="46" spans="1:10" ht="12.75">
      <c r="A46" s="5"/>
      <c r="B46" s="51"/>
      <c r="C46" s="76"/>
      <c r="D46" s="69"/>
      <c r="E46" s="69"/>
      <c r="F46" s="69"/>
      <c r="G46" s="70"/>
      <c r="H46" s="45"/>
      <c r="I46" s="15"/>
      <c r="J46" s="4"/>
    </row>
    <row r="47" spans="1:10" ht="12.75">
      <c r="A47" s="5"/>
      <c r="B47" s="50">
        <v>3.5</v>
      </c>
      <c r="C47" s="76">
        <v>-1503.5827397231787</v>
      </c>
      <c r="D47" s="69">
        <v>-1153.5827397231787</v>
      </c>
      <c r="E47" s="69">
        <v>-803.5827397231787</v>
      </c>
      <c r="F47" s="69">
        <v>-453.58273972317875</v>
      </c>
      <c r="G47" s="70">
        <v>-103.58273972317875</v>
      </c>
      <c r="H47" s="45"/>
      <c r="I47" s="15"/>
      <c r="J47" s="4"/>
    </row>
    <row r="48" spans="1:10" ht="13.5" thickBot="1">
      <c r="A48" s="52"/>
      <c r="B48" s="51"/>
      <c r="C48" s="76"/>
      <c r="D48" s="69"/>
      <c r="E48" s="69"/>
      <c r="F48" s="69"/>
      <c r="G48" s="70"/>
      <c r="H48" s="45"/>
      <c r="I48" s="15"/>
      <c r="J48" s="4"/>
    </row>
    <row r="49" spans="1:10" ht="13.5" thickBot="1">
      <c r="A49" s="53" t="s">
        <v>4</v>
      </c>
      <c r="B49" s="54">
        <v>4</v>
      </c>
      <c r="C49" s="76">
        <v>-784.7020214163822</v>
      </c>
      <c r="D49" s="69">
        <v>-384.7020214163822</v>
      </c>
      <c r="E49" s="78">
        <v>15.297978583617805</v>
      </c>
      <c r="F49" s="69">
        <v>415.2979785836178</v>
      </c>
      <c r="G49" s="70">
        <v>815.2979785836178</v>
      </c>
      <c r="H49" s="45"/>
      <c r="I49" s="15"/>
      <c r="J49" s="4"/>
    </row>
    <row r="50" spans="1:10" ht="12.75">
      <c r="A50" s="5"/>
      <c r="B50" s="51"/>
      <c r="C50" s="76"/>
      <c r="D50" s="69"/>
      <c r="E50" s="69"/>
      <c r="F50" s="69"/>
      <c r="G50" s="70"/>
      <c r="H50" s="45"/>
      <c r="I50" s="15"/>
      <c r="J50" s="4"/>
    </row>
    <row r="51" spans="1:10" ht="12.75">
      <c r="A51" s="5"/>
      <c r="B51" s="50">
        <v>4.5</v>
      </c>
      <c r="C51" s="76">
        <v>2.2770149182833848</v>
      </c>
      <c r="D51" s="69">
        <v>452.2770149182834</v>
      </c>
      <c r="E51" s="69">
        <v>902.2770149182834</v>
      </c>
      <c r="F51" s="69">
        <v>1352.2770149182834</v>
      </c>
      <c r="G51" s="70">
        <v>1802.2770149182834</v>
      </c>
      <c r="H51" s="45"/>
      <c r="I51" s="15"/>
      <c r="J51" s="4"/>
    </row>
    <row r="52" spans="1:10" ht="12.75">
      <c r="A52" s="5"/>
      <c r="B52" s="51"/>
      <c r="C52" s="76"/>
      <c r="D52" s="69"/>
      <c r="E52" s="69"/>
      <c r="F52" s="69"/>
      <c r="G52" s="70"/>
      <c r="H52" s="45"/>
      <c r="I52" s="15"/>
      <c r="J52" s="4"/>
    </row>
    <row r="53" spans="1:10" ht="12.75">
      <c r="A53" s="5"/>
      <c r="B53" s="50">
        <v>5.5</v>
      </c>
      <c r="C53" s="76">
        <v>1756.625064031301</v>
      </c>
      <c r="D53" s="69">
        <v>2306.625064031301</v>
      </c>
      <c r="E53" s="69">
        <v>2856.625064031301</v>
      </c>
      <c r="F53" s="69">
        <v>3406.625064031301</v>
      </c>
      <c r="G53" s="70">
        <v>3956.625064031301</v>
      </c>
      <c r="H53" s="45"/>
      <c r="I53" s="15"/>
      <c r="J53" s="4"/>
    </row>
    <row r="54" spans="1:9" ht="12.75">
      <c r="A54" s="5"/>
      <c r="B54" s="51"/>
      <c r="C54" s="76"/>
      <c r="D54" s="69"/>
      <c r="E54" s="69"/>
      <c r="F54" s="69"/>
      <c r="G54" s="70"/>
      <c r="H54" s="45"/>
      <c r="I54" s="15"/>
    </row>
    <row r="55" spans="1:9" ht="13.5" thickBot="1">
      <c r="A55" s="5"/>
      <c r="B55" s="55">
        <v>6</v>
      </c>
      <c r="C55" s="80">
        <v>2650.3727673387802</v>
      </c>
      <c r="D55" s="81">
        <v>3250.3727673387802</v>
      </c>
      <c r="E55" s="81">
        <v>3850.3727673387802</v>
      </c>
      <c r="F55" s="81">
        <v>4450.37276733878</v>
      </c>
      <c r="G55" s="82">
        <v>5050.37276733878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208" t="s">
        <v>71</v>
      </c>
      <c r="B57" s="183"/>
      <c r="C57" s="183"/>
      <c r="D57" s="183"/>
      <c r="E57" s="183"/>
      <c r="F57" s="183"/>
      <c r="G57" s="183"/>
      <c r="H57" s="182"/>
      <c r="I57" s="102"/>
      <c r="J57" s="102"/>
    </row>
    <row r="58" spans="1:10" ht="15">
      <c r="A58" s="181" t="s">
        <v>72</v>
      </c>
      <c r="B58" s="180"/>
      <c r="C58" s="180"/>
      <c r="D58" s="180"/>
      <c r="E58" s="180"/>
      <c r="F58" s="180"/>
      <c r="G58" s="180"/>
      <c r="H58" s="179"/>
      <c r="I58" s="102"/>
      <c r="J58" s="102"/>
    </row>
    <row r="59" spans="1:10" ht="15.75" thickBot="1">
      <c r="A59" s="178" t="s">
        <v>73</v>
      </c>
      <c r="B59" s="210"/>
      <c r="C59" s="210"/>
      <c r="D59" s="210"/>
      <c r="E59" s="210"/>
      <c r="F59" s="210"/>
      <c r="G59" s="210"/>
      <c r="H59" s="209"/>
      <c r="I59" s="102"/>
      <c r="J59" s="102"/>
    </row>
    <row r="60" spans="1:8" ht="12.75">
      <c r="A60" s="226" t="s">
        <v>74</v>
      </c>
      <c r="B60" s="227"/>
      <c r="C60" s="227"/>
      <c r="D60" s="227"/>
      <c r="E60" s="227"/>
      <c r="F60" s="227"/>
      <c r="G60" s="227"/>
      <c r="H60" s="228"/>
    </row>
    <row r="61" spans="1:8" ht="12.75">
      <c r="A61" s="229"/>
      <c r="B61" s="230"/>
      <c r="C61" s="230"/>
      <c r="D61" s="230"/>
      <c r="E61" s="230"/>
      <c r="F61" s="230"/>
      <c r="G61" s="230"/>
      <c r="H61" s="231"/>
    </row>
    <row r="62" spans="1:8" ht="12.75">
      <c r="A62" s="229"/>
      <c r="B62" s="230"/>
      <c r="C62" s="230"/>
      <c r="D62" s="230"/>
      <c r="E62" s="230"/>
      <c r="F62" s="230"/>
      <c r="G62" s="230"/>
      <c r="H62" s="231"/>
    </row>
    <row r="63" spans="1:8" ht="13.5" thickBot="1">
      <c r="A63" s="232"/>
      <c r="B63" s="233"/>
      <c r="C63" s="233"/>
      <c r="D63" s="233"/>
      <c r="E63" s="233"/>
      <c r="F63" s="233"/>
      <c r="G63" s="233"/>
      <c r="H63" s="234"/>
    </row>
  </sheetData>
  <sheetProtection/>
  <mergeCells count="11">
    <mergeCell ref="A25:C25"/>
    <mergeCell ref="A27:C27"/>
    <mergeCell ref="K7:M7"/>
    <mergeCell ref="A60:H63"/>
    <mergeCell ref="A1:D1"/>
    <mergeCell ref="E1:G1"/>
    <mergeCell ref="A31:C31"/>
    <mergeCell ref="A35:C35"/>
    <mergeCell ref="A29:C29"/>
    <mergeCell ref="A3:C3"/>
    <mergeCell ref="A8:C8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300" verticalDpi="3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26" width="12.7109375" style="2" customWidth="1"/>
    <col min="27" max="16384" width="9.140625" style="2" customWidth="1"/>
  </cols>
  <sheetData>
    <row r="1" spans="1:10" s="4" customFormat="1" ht="30.75" customHeight="1" thickBot="1">
      <c r="A1" s="235" t="s">
        <v>75</v>
      </c>
      <c r="B1" s="236"/>
      <c r="C1" s="236"/>
      <c r="D1" s="236"/>
      <c r="E1" s="237" t="s">
        <v>76</v>
      </c>
      <c r="F1" s="237"/>
      <c r="G1" s="237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4.75" customHeight="1" thickBot="1">
      <c r="A3" s="241" t="s">
        <v>42</v>
      </c>
      <c r="B3" s="242"/>
      <c r="C3" s="242"/>
      <c r="D3" s="58"/>
      <c r="E3" s="71">
        <f>'Pryse + Sensatiwiteitsanalise'!B19</f>
        <v>2422</v>
      </c>
      <c r="F3" s="58" t="s">
        <v>3</v>
      </c>
      <c r="G3" s="20"/>
      <c r="H3" s="20"/>
      <c r="I3" s="7"/>
      <c r="K3" s="4"/>
    </row>
    <row r="4" spans="1:11" ht="13.5" thickBot="1">
      <c r="A4" s="202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84" t="s">
        <v>43</v>
      </c>
      <c r="B5" s="9"/>
      <c r="C5" s="9"/>
      <c r="D5" s="89">
        <v>3</v>
      </c>
      <c r="E5" s="89">
        <v>3.5</v>
      </c>
      <c r="F5" s="89">
        <v>4</v>
      </c>
      <c r="G5" s="89">
        <v>4.5</v>
      </c>
      <c r="H5" s="89">
        <v>5.5</v>
      </c>
      <c r="I5" s="89">
        <v>6</v>
      </c>
      <c r="J5" s="4"/>
      <c r="K5" s="15"/>
    </row>
    <row r="6" spans="1:11" ht="13.5" thickBot="1">
      <c r="A6" s="185" t="s">
        <v>44</v>
      </c>
      <c r="B6" s="204"/>
      <c r="C6" s="207"/>
      <c r="D6" s="67">
        <f aca="true" t="shared" si="0" ref="D6:I6">$E$3*D5</f>
        <v>7266</v>
      </c>
      <c r="E6" s="67">
        <f t="shared" si="0"/>
        <v>8477</v>
      </c>
      <c r="F6" s="67">
        <f t="shared" si="0"/>
        <v>9688</v>
      </c>
      <c r="G6" s="67">
        <f t="shared" si="0"/>
        <v>10899</v>
      </c>
      <c r="H6" s="67">
        <f t="shared" si="0"/>
        <v>13321</v>
      </c>
      <c r="I6" s="67">
        <f t="shared" si="0"/>
        <v>14532</v>
      </c>
      <c r="J6" s="4"/>
      <c r="K6" s="15"/>
    </row>
    <row r="7" spans="1:11" ht="13.5" thickBot="1">
      <c r="A7" s="205"/>
      <c r="B7" s="206"/>
      <c r="C7" s="206"/>
      <c r="D7" s="23"/>
      <c r="E7" s="23"/>
      <c r="F7" s="23"/>
      <c r="G7" s="23"/>
      <c r="H7" s="23"/>
      <c r="I7" s="23"/>
      <c r="J7" s="4"/>
      <c r="K7" s="15"/>
    </row>
    <row r="8" spans="1:11" ht="13.5" thickBot="1">
      <c r="A8" s="246" t="s">
        <v>45</v>
      </c>
      <c r="B8" s="247"/>
      <c r="C8" s="248"/>
      <c r="D8" s="24"/>
      <c r="E8" s="24"/>
      <c r="F8" s="24"/>
      <c r="G8" s="24"/>
      <c r="H8" s="24"/>
      <c r="I8" s="24"/>
      <c r="J8" s="4"/>
      <c r="K8" s="15"/>
    </row>
    <row r="9" spans="1:11" ht="12.75">
      <c r="A9" s="189" t="s">
        <v>46</v>
      </c>
      <c r="B9" s="190"/>
      <c r="C9" s="190"/>
      <c r="D9" s="59">
        <v>1134.9</v>
      </c>
      <c r="E9" s="59">
        <v>1222.2</v>
      </c>
      <c r="F9" s="59">
        <v>1309.5</v>
      </c>
      <c r="G9" s="59">
        <v>1309.5</v>
      </c>
      <c r="H9" s="59">
        <v>1440.45</v>
      </c>
      <c r="I9" s="59">
        <v>1440.45</v>
      </c>
      <c r="J9" s="4"/>
      <c r="K9" s="15"/>
    </row>
    <row r="10" spans="1:11" ht="12.75">
      <c r="A10" s="186" t="s">
        <v>47</v>
      </c>
      <c r="B10" s="191"/>
      <c r="C10" s="191"/>
      <c r="D10" s="60">
        <v>1528.1999999999998</v>
      </c>
      <c r="E10" s="60">
        <v>1685.9</v>
      </c>
      <c r="F10" s="60">
        <v>1959.9999999999998</v>
      </c>
      <c r="G10" s="60">
        <v>2272.9</v>
      </c>
      <c r="H10" s="60">
        <v>2602.8999999999996</v>
      </c>
      <c r="I10" s="60">
        <v>2823.6</v>
      </c>
      <c r="J10" s="4"/>
      <c r="K10" s="15"/>
    </row>
    <row r="11" spans="1:11" ht="12.75">
      <c r="A11" s="186" t="s">
        <v>48</v>
      </c>
      <c r="B11" s="191"/>
      <c r="C11" s="191"/>
      <c r="D11" s="60">
        <v>560</v>
      </c>
      <c r="E11" s="60">
        <v>560</v>
      </c>
      <c r="F11" s="60">
        <v>560</v>
      </c>
      <c r="G11" s="60">
        <v>560</v>
      </c>
      <c r="H11" s="60">
        <v>560</v>
      </c>
      <c r="I11" s="60">
        <v>560</v>
      </c>
      <c r="J11" s="4"/>
      <c r="K11" s="15"/>
    </row>
    <row r="12" spans="1:11" ht="12.75">
      <c r="A12" s="186" t="s">
        <v>49</v>
      </c>
      <c r="B12" s="191"/>
      <c r="C12" s="191"/>
      <c r="D12" s="60">
        <v>876.815205</v>
      </c>
      <c r="E12" s="60">
        <v>893.735455</v>
      </c>
      <c r="F12" s="60">
        <v>910.655705</v>
      </c>
      <c r="G12" s="60">
        <v>927.575955</v>
      </c>
      <c r="H12" s="60">
        <v>955.031455</v>
      </c>
      <c r="I12" s="60">
        <v>971.951705</v>
      </c>
      <c r="J12" s="4"/>
      <c r="K12" s="15"/>
    </row>
    <row r="13" spans="1:11" ht="12.75">
      <c r="A13" s="186" t="s">
        <v>50</v>
      </c>
      <c r="B13" s="191"/>
      <c r="C13" s="191"/>
      <c r="D13" s="60">
        <v>637.2881</v>
      </c>
      <c r="E13" s="60">
        <v>640.3531</v>
      </c>
      <c r="F13" s="60">
        <v>643.4181000000001</v>
      </c>
      <c r="G13" s="60">
        <v>646.4831</v>
      </c>
      <c r="H13" s="60">
        <v>652.6131</v>
      </c>
      <c r="I13" s="60">
        <v>655.6781000000001</v>
      </c>
      <c r="J13" s="4"/>
      <c r="K13" s="15"/>
    </row>
    <row r="14" spans="1:11" ht="12.75">
      <c r="A14" s="186" t="s">
        <v>51</v>
      </c>
      <c r="B14" s="191"/>
      <c r="C14" s="191"/>
      <c r="D14" s="60">
        <v>607.1885000000001</v>
      </c>
      <c r="E14" s="60">
        <v>607.1885000000001</v>
      </c>
      <c r="F14" s="60">
        <v>607.1885000000001</v>
      </c>
      <c r="G14" s="60">
        <v>607.1885000000001</v>
      </c>
      <c r="H14" s="60">
        <v>607.1885000000001</v>
      </c>
      <c r="I14" s="60">
        <v>607.1885000000001</v>
      </c>
      <c r="J14" s="4"/>
      <c r="K14" s="15"/>
    </row>
    <row r="15" spans="1:11" ht="12.75">
      <c r="A15" s="186" t="s">
        <v>52</v>
      </c>
      <c r="B15" s="191"/>
      <c r="C15" s="191"/>
      <c r="D15" s="60">
        <v>754.942876</v>
      </c>
      <c r="E15" s="60">
        <v>754.942876</v>
      </c>
      <c r="F15" s="60">
        <v>754.942876</v>
      </c>
      <c r="G15" s="60">
        <v>754.942876</v>
      </c>
      <c r="H15" s="60">
        <v>754.942876</v>
      </c>
      <c r="I15" s="60">
        <v>754.942876</v>
      </c>
      <c r="J15" s="4"/>
      <c r="K15" s="15"/>
    </row>
    <row r="16" spans="1:11" ht="12.75">
      <c r="A16" s="186" t="s">
        <v>53</v>
      </c>
      <c r="B16" s="191"/>
      <c r="C16" s="191"/>
      <c r="D16" s="60">
        <v>159.237</v>
      </c>
      <c r="E16" s="60">
        <v>185.7765</v>
      </c>
      <c r="F16" s="60">
        <v>212.316</v>
      </c>
      <c r="G16" s="60">
        <v>238.8555</v>
      </c>
      <c r="H16" s="60">
        <v>291.9345</v>
      </c>
      <c r="I16" s="60">
        <v>318.474</v>
      </c>
      <c r="J16" s="4"/>
      <c r="K16" s="15"/>
    </row>
    <row r="17" spans="1:11" ht="12.75">
      <c r="A17" s="186" t="s">
        <v>55</v>
      </c>
      <c r="B17" s="191"/>
      <c r="C17" s="191"/>
      <c r="D17" s="60">
        <v>494.03410587803086</v>
      </c>
      <c r="E17" s="60">
        <v>518.9469273328434</v>
      </c>
      <c r="F17" s="60">
        <v>552.4122836884644</v>
      </c>
      <c r="G17" s="60">
        <v>582.3140838354152</v>
      </c>
      <c r="H17" s="60">
        <v>629.5361264511389</v>
      </c>
      <c r="I17" s="60">
        <v>652.6634960323291</v>
      </c>
      <c r="J17" s="4"/>
      <c r="K17" s="15"/>
    </row>
    <row r="18" spans="1:11" ht="12.75">
      <c r="A18" s="186" t="s">
        <v>56</v>
      </c>
      <c r="B18" s="191"/>
      <c r="C18" s="191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86" t="s">
        <v>57</v>
      </c>
      <c r="B19" s="191"/>
      <c r="C19" s="191"/>
      <c r="D19" s="60">
        <v>285.2325</v>
      </c>
      <c r="E19" s="60">
        <v>332.77125</v>
      </c>
      <c r="F19" s="60">
        <v>380.31000000000006</v>
      </c>
      <c r="G19" s="60">
        <v>427.84875000000005</v>
      </c>
      <c r="H19" s="60">
        <v>522.9262500000001</v>
      </c>
      <c r="I19" s="60">
        <v>570.465</v>
      </c>
      <c r="J19" s="4"/>
      <c r="K19" s="15"/>
    </row>
    <row r="20" spans="1:11" ht="12.75">
      <c r="A20" s="186" t="s">
        <v>58</v>
      </c>
      <c r="B20" s="191"/>
      <c r="C20" s="191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86" t="s">
        <v>59</v>
      </c>
      <c r="B21" s="191"/>
      <c r="C21" s="191"/>
      <c r="D21" s="60">
        <v>180</v>
      </c>
      <c r="E21" s="60">
        <v>180</v>
      </c>
      <c r="F21" s="60">
        <v>180</v>
      </c>
      <c r="G21" s="60">
        <v>180</v>
      </c>
      <c r="H21" s="60">
        <v>180</v>
      </c>
      <c r="I21" s="60">
        <v>180</v>
      </c>
      <c r="J21" s="4"/>
      <c r="K21" s="15"/>
    </row>
    <row r="22" spans="1:11" ht="12.75">
      <c r="A22" s="186" t="s">
        <v>60</v>
      </c>
      <c r="B22" s="191"/>
      <c r="C22" s="191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86" t="s">
        <v>61</v>
      </c>
      <c r="B23" s="191"/>
      <c r="C23" s="191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86" t="s">
        <v>62</v>
      </c>
      <c r="B24" s="191"/>
      <c r="C24" s="191"/>
      <c r="D24" s="60">
        <v>568.4047650916449</v>
      </c>
      <c r="E24" s="60">
        <v>597.0679004062115</v>
      </c>
      <c r="F24" s="60">
        <v>635.5710478442165</v>
      </c>
      <c r="G24" s="60">
        <v>669.9741902307888</v>
      </c>
      <c r="H24" s="60">
        <v>724.3049210867772</v>
      </c>
      <c r="I24" s="60">
        <v>750.913827066296</v>
      </c>
      <c r="J24" s="4"/>
      <c r="K24" s="15"/>
    </row>
    <row r="25" spans="1:11" ht="13.5" thickBot="1">
      <c r="A25" s="238" t="s">
        <v>63</v>
      </c>
      <c r="B25" s="244"/>
      <c r="C25" s="245"/>
      <c r="D25" s="61">
        <f aca="true" t="shared" si="1" ref="D25:I25">SUM(D8:D24)</f>
        <v>7786.243051969675</v>
      </c>
      <c r="E25" s="61">
        <f t="shared" si="1"/>
        <v>8178.882508739055</v>
      </c>
      <c r="F25" s="61">
        <f t="shared" si="1"/>
        <v>8706.314512532681</v>
      </c>
      <c r="G25" s="61">
        <f t="shared" si="1"/>
        <v>9177.582955066204</v>
      </c>
      <c r="H25" s="61">
        <f t="shared" si="1"/>
        <v>9921.827728537917</v>
      </c>
      <c r="I25" s="61">
        <f t="shared" si="1"/>
        <v>10286.327504098626</v>
      </c>
      <c r="J25" s="4"/>
      <c r="K25" s="15"/>
    </row>
    <row r="26" spans="1:11" ht="13.5" thickBot="1">
      <c r="A26" s="192"/>
      <c r="B26" s="193"/>
      <c r="C26" s="193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49" t="s">
        <v>64</v>
      </c>
      <c r="B27" s="250"/>
      <c r="C27" s="251"/>
      <c r="D27" s="61">
        <v>2377.7234333666665</v>
      </c>
      <c r="E27" s="61">
        <v>2377.7234333666665</v>
      </c>
      <c r="F27" s="61">
        <v>2377.7234333666665</v>
      </c>
      <c r="G27" s="61">
        <v>2377.7234333666665</v>
      </c>
      <c r="H27" s="61">
        <v>2377.7234333666665</v>
      </c>
      <c r="I27" s="61">
        <v>2377.7234333666665</v>
      </c>
      <c r="J27" s="4"/>
      <c r="K27" s="15"/>
    </row>
    <row r="28" spans="1:11" ht="13.5" thickBot="1">
      <c r="A28" s="192"/>
      <c r="B28" s="193"/>
      <c r="C28" s="193"/>
      <c r="D28" s="62"/>
      <c r="E28" s="62"/>
      <c r="F28" s="62"/>
      <c r="G28" s="62"/>
      <c r="H28" s="62"/>
      <c r="I28" s="62"/>
      <c r="J28" s="4"/>
      <c r="K28" s="4"/>
    </row>
    <row r="29" spans="1:11" ht="28.5" customHeight="1" thickBot="1">
      <c r="A29" s="238" t="s">
        <v>65</v>
      </c>
      <c r="B29" s="244"/>
      <c r="C29" s="245"/>
      <c r="D29" s="61">
        <f aca="true" t="shared" si="2" ref="D29:I29">D25+D27</f>
        <v>10163.966485336343</v>
      </c>
      <c r="E29" s="61">
        <f t="shared" si="2"/>
        <v>10556.605942105722</v>
      </c>
      <c r="F29" s="61">
        <f t="shared" si="2"/>
        <v>11084.037945899348</v>
      </c>
      <c r="G29" s="61">
        <f t="shared" si="2"/>
        <v>11555.30638843287</v>
      </c>
      <c r="H29" s="61">
        <f t="shared" si="2"/>
        <v>12299.551161904583</v>
      </c>
      <c r="I29" s="61">
        <f t="shared" si="2"/>
        <v>12664.050937465294</v>
      </c>
      <c r="J29" s="4"/>
      <c r="K29" s="4"/>
    </row>
    <row r="30" spans="1:11" ht="13.5" thickBot="1">
      <c r="A30" s="187"/>
      <c r="B30" s="188"/>
      <c r="C30" s="188"/>
      <c r="D30" s="64"/>
      <c r="E30" s="64"/>
      <c r="F30" s="64"/>
      <c r="G30" s="64"/>
      <c r="H30" s="64"/>
      <c r="I30" s="64"/>
      <c r="J30" s="4"/>
      <c r="K30" s="4"/>
    </row>
    <row r="31" spans="1:11" ht="27.75" customHeight="1" thickBot="1">
      <c r="A31" s="238" t="s">
        <v>66</v>
      </c>
      <c r="B31" s="239"/>
      <c r="C31" s="240"/>
      <c r="D31" s="61">
        <f aca="true" t="shared" si="3" ref="D31:I31">D29/D5</f>
        <v>3387.988828445448</v>
      </c>
      <c r="E31" s="61">
        <f t="shared" si="3"/>
        <v>3016.1731263159204</v>
      </c>
      <c r="F31" s="61">
        <f t="shared" si="3"/>
        <v>2771.009486474837</v>
      </c>
      <c r="G31" s="61">
        <f t="shared" si="3"/>
        <v>2567.845864096193</v>
      </c>
      <c r="H31" s="61">
        <f t="shared" si="3"/>
        <v>2236.282029437197</v>
      </c>
      <c r="I31" s="61">
        <f t="shared" si="3"/>
        <v>2110.6751562442155</v>
      </c>
      <c r="J31" s="4"/>
      <c r="K31" s="15"/>
    </row>
    <row r="32" spans="1:11" ht="13.5" thickBot="1">
      <c r="A32" s="205"/>
      <c r="B32" s="206"/>
      <c r="C32" s="206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203" t="s">
        <v>67</v>
      </c>
      <c r="B33" s="204"/>
      <c r="C33" s="204"/>
      <c r="D33" s="61">
        <f>'Pryse + Sensatiwiteitsanalise'!D4</f>
        <v>278</v>
      </c>
      <c r="E33" s="61">
        <f>$D$33</f>
        <v>278</v>
      </c>
      <c r="F33" s="61">
        <f>$D$33</f>
        <v>278</v>
      </c>
      <c r="G33" s="61">
        <f>$D$33</f>
        <v>278</v>
      </c>
      <c r="H33" s="61">
        <f>$D$33</f>
        <v>278</v>
      </c>
      <c r="I33" s="61">
        <f>$D$33</f>
        <v>278</v>
      </c>
      <c r="J33" s="4"/>
      <c r="K33" s="15"/>
    </row>
    <row r="34" spans="1:11" ht="13.5" thickBot="1">
      <c r="A34" s="205"/>
      <c r="B34" s="206"/>
      <c r="C34" s="206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41" t="s">
        <v>68</v>
      </c>
      <c r="B35" s="242"/>
      <c r="C35" s="243"/>
      <c r="D35" s="63">
        <f aca="true" t="shared" si="4" ref="D35:I35">D31+D33</f>
        <v>3665.988828445448</v>
      </c>
      <c r="E35" s="63">
        <f t="shared" si="4"/>
        <v>3294.1731263159204</v>
      </c>
      <c r="F35" s="63">
        <f t="shared" si="4"/>
        <v>3049.009486474837</v>
      </c>
      <c r="G35" s="63">
        <f t="shared" si="4"/>
        <v>2845.845864096193</v>
      </c>
      <c r="H35" s="63">
        <f t="shared" si="4"/>
        <v>2514.282029437197</v>
      </c>
      <c r="I35" s="63">
        <f t="shared" si="4"/>
        <v>2388.6751562442155</v>
      </c>
      <c r="J35" s="4"/>
      <c r="K35" s="15"/>
    </row>
    <row r="36" spans="1:10" ht="13.5" thickBot="1">
      <c r="A36" s="200" t="s">
        <v>69</v>
      </c>
      <c r="B36" s="201"/>
      <c r="C36" s="7"/>
      <c r="D36" s="63">
        <f>'Pryse + Sensatiwiteitsanalise'!B4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35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6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  <c r="P40" s="65"/>
    </row>
    <row r="41" spans="1:10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2516.5</v>
      </c>
      <c r="D44" s="47">
        <v>2616.5</v>
      </c>
      <c r="E44" s="48">
        <v>2716.5</v>
      </c>
      <c r="F44" s="47">
        <v>2816.5</v>
      </c>
      <c r="G44" s="49">
        <v>2916.5</v>
      </c>
      <c r="H44" s="45"/>
      <c r="I44" s="15"/>
      <c r="J44" s="4"/>
    </row>
    <row r="45" spans="1:10" ht="12.75">
      <c r="A45" s="5"/>
      <c r="B45" s="50">
        <v>3</v>
      </c>
      <c r="C45" s="73">
        <v>-2614.466485336343</v>
      </c>
      <c r="D45" s="74">
        <v>-2314.466485336343</v>
      </c>
      <c r="E45" s="74">
        <v>-2014.4664853363429</v>
      </c>
      <c r="F45" s="74">
        <v>-1714.4664853363429</v>
      </c>
      <c r="G45" s="75">
        <v>-1414.4664853363429</v>
      </c>
      <c r="H45" s="45"/>
      <c r="I45" s="15"/>
      <c r="J45" s="4"/>
    </row>
    <row r="46" spans="1:10" ht="12.75">
      <c r="A46" s="5"/>
      <c r="B46" s="51"/>
      <c r="C46" s="76"/>
      <c r="D46" s="69"/>
      <c r="E46" s="69"/>
      <c r="F46" s="69"/>
      <c r="G46" s="70"/>
      <c r="H46" s="45"/>
      <c r="I46" s="15"/>
      <c r="J46" s="4"/>
    </row>
    <row r="47" spans="1:10" ht="12.75">
      <c r="A47" s="5"/>
      <c r="B47" s="50">
        <v>3.5</v>
      </c>
      <c r="C47" s="76">
        <v>-1748.8559421057216</v>
      </c>
      <c r="D47" s="69">
        <v>-1398.8559421057216</v>
      </c>
      <c r="E47" s="69">
        <v>-1048.8559421057216</v>
      </c>
      <c r="F47" s="69">
        <v>-698.8559421057216</v>
      </c>
      <c r="G47" s="70">
        <v>-348.8559421057216</v>
      </c>
      <c r="H47" s="45"/>
      <c r="I47" s="15"/>
      <c r="J47" s="4"/>
    </row>
    <row r="48" spans="1:10" ht="13.5" thickBot="1">
      <c r="A48" s="52"/>
      <c r="B48" s="51"/>
      <c r="C48" s="76"/>
      <c r="D48" s="69"/>
      <c r="E48" s="69"/>
      <c r="F48" s="69"/>
      <c r="G48" s="70"/>
      <c r="H48" s="45"/>
      <c r="I48" s="15"/>
      <c r="J48" s="4"/>
    </row>
    <row r="49" spans="1:10" ht="13.5" thickBot="1">
      <c r="A49" s="53" t="s">
        <v>4</v>
      </c>
      <c r="B49" s="54">
        <v>4</v>
      </c>
      <c r="C49" s="76">
        <v>-1018.0379458993484</v>
      </c>
      <c r="D49" s="69">
        <v>-618.0379458993484</v>
      </c>
      <c r="E49" s="78">
        <v>-218.03794589934841</v>
      </c>
      <c r="F49" s="69">
        <v>181.96205410065159</v>
      </c>
      <c r="G49" s="70">
        <v>581.9620541006516</v>
      </c>
      <c r="H49" s="45"/>
      <c r="I49" s="15"/>
      <c r="J49" s="4"/>
    </row>
    <row r="50" spans="1:10" ht="12.75">
      <c r="A50" s="5"/>
      <c r="B50" s="51"/>
      <c r="C50" s="76"/>
      <c r="D50" s="69"/>
      <c r="E50" s="69"/>
      <c r="F50" s="69"/>
      <c r="G50" s="70"/>
      <c r="H50" s="45"/>
      <c r="I50" s="15"/>
      <c r="J50" s="4"/>
    </row>
    <row r="51" spans="1:10" ht="12.75">
      <c r="A51" s="5"/>
      <c r="B51" s="50">
        <v>4.5</v>
      </c>
      <c r="C51" s="76">
        <v>-231.05638843286943</v>
      </c>
      <c r="D51" s="69">
        <v>218.94361156713057</v>
      </c>
      <c r="E51" s="69">
        <v>668.9436115671306</v>
      </c>
      <c r="F51" s="69">
        <v>1118.9436115671306</v>
      </c>
      <c r="G51" s="70">
        <v>1568.9436115671306</v>
      </c>
      <c r="H51" s="45"/>
      <c r="I51" s="15"/>
      <c r="J51" s="4"/>
    </row>
    <row r="52" spans="1:10" ht="12.75">
      <c r="A52" s="5"/>
      <c r="B52" s="51"/>
      <c r="C52" s="76"/>
      <c r="D52" s="69"/>
      <c r="E52" s="69"/>
      <c r="F52" s="69"/>
      <c r="G52" s="70"/>
      <c r="H52" s="45"/>
      <c r="I52" s="15"/>
      <c r="J52" s="4"/>
    </row>
    <row r="53" spans="1:10" ht="12.75">
      <c r="A53" s="5"/>
      <c r="B53" s="50">
        <v>5.5</v>
      </c>
      <c r="C53" s="76">
        <v>1541.1988380954172</v>
      </c>
      <c r="D53" s="69">
        <v>2091.198838095417</v>
      </c>
      <c r="E53" s="69">
        <v>2641.198838095417</v>
      </c>
      <c r="F53" s="69">
        <v>3191.198838095417</v>
      </c>
      <c r="G53" s="70">
        <v>3741.198838095417</v>
      </c>
      <c r="H53" s="45"/>
      <c r="I53" s="15"/>
      <c r="J53" s="4"/>
    </row>
    <row r="54" spans="1:9" ht="12.75">
      <c r="A54" s="5"/>
      <c r="B54" s="51"/>
      <c r="C54" s="76"/>
      <c r="D54" s="69"/>
      <c r="E54" s="69"/>
      <c r="F54" s="69"/>
      <c r="G54" s="70"/>
      <c r="H54" s="45"/>
      <c r="I54" s="15"/>
    </row>
    <row r="55" spans="1:9" ht="13.5" thickBot="1">
      <c r="A55" s="5"/>
      <c r="B55" s="55">
        <v>6</v>
      </c>
      <c r="C55" s="80">
        <v>2434.949062534706</v>
      </c>
      <c r="D55" s="81">
        <v>3034.949062534706</v>
      </c>
      <c r="E55" s="81">
        <v>3634.949062534706</v>
      </c>
      <c r="F55" s="81">
        <v>4234.949062534706</v>
      </c>
      <c r="G55" s="82">
        <v>4834.949062534706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208" t="s">
        <v>71</v>
      </c>
      <c r="B57" s="183"/>
      <c r="C57" s="183"/>
      <c r="D57" s="183"/>
      <c r="E57" s="183"/>
      <c r="F57" s="183"/>
      <c r="G57" s="183"/>
      <c r="H57" s="182"/>
      <c r="I57" s="102"/>
      <c r="J57" s="102"/>
    </row>
    <row r="58" spans="1:10" ht="15">
      <c r="A58" s="181" t="s">
        <v>72</v>
      </c>
      <c r="B58" s="180"/>
      <c r="C58" s="180"/>
      <c r="D58" s="180"/>
      <c r="E58" s="180"/>
      <c r="F58" s="180"/>
      <c r="G58" s="180"/>
      <c r="H58" s="179"/>
      <c r="I58" s="102"/>
      <c r="J58" s="102"/>
    </row>
    <row r="59" spans="1:10" ht="15.75" thickBot="1">
      <c r="A59" s="178" t="s">
        <v>73</v>
      </c>
      <c r="B59" s="210"/>
      <c r="C59" s="210"/>
      <c r="D59" s="210"/>
      <c r="E59" s="210"/>
      <c r="F59" s="210"/>
      <c r="G59" s="210"/>
      <c r="H59" s="209"/>
      <c r="I59" s="102"/>
      <c r="J59" s="102"/>
    </row>
    <row r="60" spans="1:8" ht="12.75">
      <c r="A60" s="226" t="s">
        <v>74</v>
      </c>
      <c r="B60" s="227"/>
      <c r="C60" s="227"/>
      <c r="D60" s="227"/>
      <c r="E60" s="227"/>
      <c r="F60" s="227"/>
      <c r="G60" s="227"/>
      <c r="H60" s="228"/>
    </row>
    <row r="61" spans="1:8" ht="12.75">
      <c r="A61" s="229"/>
      <c r="B61" s="230"/>
      <c r="C61" s="230"/>
      <c r="D61" s="230"/>
      <c r="E61" s="230"/>
      <c r="F61" s="230"/>
      <c r="G61" s="230"/>
      <c r="H61" s="231"/>
    </row>
    <row r="62" spans="1:8" ht="12.75">
      <c r="A62" s="229"/>
      <c r="B62" s="230"/>
      <c r="C62" s="230"/>
      <c r="D62" s="230"/>
      <c r="E62" s="230"/>
      <c r="F62" s="230"/>
      <c r="G62" s="230"/>
      <c r="H62" s="231"/>
    </row>
    <row r="63" spans="1:8" ht="13.5" thickBot="1">
      <c r="A63" s="232"/>
      <c r="B63" s="233"/>
      <c r="C63" s="233"/>
      <c r="D63" s="233"/>
      <c r="E63" s="233"/>
      <c r="F63" s="233"/>
      <c r="G63" s="233"/>
      <c r="H63" s="234"/>
    </row>
    <row r="120" ht="12.75"/>
    <row r="121" ht="12.75"/>
    <row r="122" ht="12.75"/>
    <row r="123" ht="12.75"/>
    <row r="124" ht="12.75"/>
    <row r="125" ht="12.75"/>
    <row r="126" ht="12.75"/>
  </sheetData>
  <sheetProtection/>
  <mergeCells count="10">
    <mergeCell ref="A60:H63"/>
    <mergeCell ref="A1:D1"/>
    <mergeCell ref="E1:G1"/>
    <mergeCell ref="A31:C31"/>
    <mergeCell ref="A35:C35"/>
    <mergeCell ref="A29:C29"/>
    <mergeCell ref="A3:C3"/>
    <mergeCell ref="A8:C8"/>
    <mergeCell ref="A25:C25"/>
    <mergeCell ref="A27:C27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300" verticalDpi="300" orientation="portrait" paperSize="9" r:id="rId2"/>
  <headerFooter alignWithMargins="0">
    <oddHeader>&amp;C&amp;F</oddHeader>
    <oddFooter>&amp;C&amp;A&amp;RPage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26" width="12.7109375" style="2" customWidth="1"/>
    <col min="27" max="16384" width="9.140625" style="2" customWidth="1"/>
  </cols>
  <sheetData>
    <row r="1" spans="1:10" s="4" customFormat="1" ht="30.75" customHeight="1" thickBot="1">
      <c r="A1" s="235" t="s">
        <v>38</v>
      </c>
      <c r="B1" s="236"/>
      <c r="C1" s="236"/>
      <c r="D1" s="236"/>
      <c r="E1" s="237" t="s">
        <v>70</v>
      </c>
      <c r="F1" s="237"/>
      <c r="G1" s="237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4.75" customHeight="1" thickBot="1">
      <c r="A3" s="241" t="s">
        <v>42</v>
      </c>
      <c r="B3" s="242"/>
      <c r="C3" s="242"/>
      <c r="D3" s="58"/>
      <c r="E3" s="71">
        <f>'Pryse + Sensatiwiteitsanalise'!B19</f>
        <v>2422</v>
      </c>
      <c r="F3" s="58" t="s">
        <v>3</v>
      </c>
      <c r="G3" s="20"/>
      <c r="H3" s="20"/>
      <c r="I3" s="7"/>
      <c r="K3" s="4"/>
    </row>
    <row r="4" spans="1:11" ht="13.5" thickBot="1">
      <c r="A4" s="202"/>
      <c r="B4" s="9"/>
      <c r="C4" s="9"/>
      <c r="D4" s="85"/>
      <c r="E4" s="68"/>
      <c r="F4" s="86"/>
      <c r="G4" s="87"/>
      <c r="H4" s="88"/>
      <c r="I4" s="88"/>
      <c r="J4" s="4"/>
      <c r="K4" s="15"/>
    </row>
    <row r="5" spans="1:11" ht="13.5" thickBot="1">
      <c r="A5" s="184" t="s">
        <v>43</v>
      </c>
      <c r="B5" s="9"/>
      <c r="C5" s="9"/>
      <c r="D5" s="89">
        <v>3</v>
      </c>
      <c r="E5" s="89">
        <v>3.5</v>
      </c>
      <c r="F5" s="89">
        <v>4</v>
      </c>
      <c r="G5" s="89">
        <v>4.5</v>
      </c>
      <c r="H5" s="89">
        <v>5.5</v>
      </c>
      <c r="I5" s="89">
        <v>6</v>
      </c>
      <c r="J5" s="4"/>
      <c r="K5" s="15"/>
    </row>
    <row r="6" spans="1:11" ht="13.5" thickBot="1">
      <c r="A6" s="185" t="s">
        <v>44</v>
      </c>
      <c r="B6" s="204"/>
      <c r="C6" s="207"/>
      <c r="D6" s="67">
        <f aca="true" t="shared" si="0" ref="D6:I6">$E$3*D5</f>
        <v>7266</v>
      </c>
      <c r="E6" s="67">
        <f t="shared" si="0"/>
        <v>8477</v>
      </c>
      <c r="F6" s="67">
        <f t="shared" si="0"/>
        <v>9688</v>
      </c>
      <c r="G6" s="67">
        <f t="shared" si="0"/>
        <v>10899</v>
      </c>
      <c r="H6" s="67">
        <f t="shared" si="0"/>
        <v>13321</v>
      </c>
      <c r="I6" s="67">
        <f t="shared" si="0"/>
        <v>14532</v>
      </c>
      <c r="J6" s="4"/>
      <c r="K6" s="15"/>
    </row>
    <row r="7" spans="1:11" ht="13.5" thickBot="1">
      <c r="A7" s="205"/>
      <c r="B7" s="206"/>
      <c r="C7" s="206"/>
      <c r="D7" s="23"/>
      <c r="E7" s="23"/>
      <c r="F7" s="23"/>
      <c r="G7" s="23"/>
      <c r="H7" s="23"/>
      <c r="I7" s="23"/>
      <c r="J7" s="4"/>
      <c r="K7" s="15"/>
    </row>
    <row r="8" spans="1:11" ht="13.5" thickBot="1">
      <c r="A8" s="246" t="s">
        <v>45</v>
      </c>
      <c r="B8" s="247"/>
      <c r="C8" s="248"/>
      <c r="D8" s="24"/>
      <c r="E8" s="24"/>
      <c r="F8" s="24"/>
      <c r="G8" s="24"/>
      <c r="H8" s="24"/>
      <c r="I8" s="24"/>
      <c r="J8" s="4"/>
      <c r="K8" s="15"/>
    </row>
    <row r="9" spans="1:11" ht="12.75">
      <c r="A9" s="189" t="s">
        <v>46</v>
      </c>
      <c r="B9" s="190"/>
      <c r="C9" s="190"/>
      <c r="D9" s="59">
        <v>1371.4025</v>
      </c>
      <c r="E9" s="59">
        <v>1476.8949999999998</v>
      </c>
      <c r="F9" s="59">
        <v>1582.3874999999998</v>
      </c>
      <c r="G9" s="59">
        <v>1582.3874999999998</v>
      </c>
      <c r="H9" s="59">
        <v>1740.62625</v>
      </c>
      <c r="I9" s="59">
        <v>1740.62625</v>
      </c>
      <c r="J9" s="4"/>
      <c r="K9" s="15"/>
    </row>
    <row r="10" spans="1:11" ht="12.75">
      <c r="A10" s="186" t="s">
        <v>47</v>
      </c>
      <c r="B10" s="191"/>
      <c r="C10" s="191"/>
      <c r="D10" s="60">
        <v>1528.1999999999998</v>
      </c>
      <c r="E10" s="60">
        <v>1685.9</v>
      </c>
      <c r="F10" s="60">
        <v>1959.9999999999998</v>
      </c>
      <c r="G10" s="60">
        <v>2272.9</v>
      </c>
      <c r="H10" s="60">
        <v>2602.8999999999996</v>
      </c>
      <c r="I10" s="60">
        <v>2823.6</v>
      </c>
      <c r="J10" s="4"/>
      <c r="K10" s="15"/>
    </row>
    <row r="11" spans="1:11" ht="12.75">
      <c r="A11" s="186" t="s">
        <v>48</v>
      </c>
      <c r="B11" s="191"/>
      <c r="C11" s="191"/>
      <c r="D11" s="60">
        <v>560</v>
      </c>
      <c r="E11" s="60">
        <v>560</v>
      </c>
      <c r="F11" s="60">
        <v>560</v>
      </c>
      <c r="G11" s="60">
        <v>560</v>
      </c>
      <c r="H11" s="60">
        <v>560</v>
      </c>
      <c r="I11" s="60">
        <v>560</v>
      </c>
      <c r="J11" s="4"/>
      <c r="K11" s="15"/>
    </row>
    <row r="12" spans="1:11" ht="12.75">
      <c r="A12" s="186" t="s">
        <v>49</v>
      </c>
      <c r="B12" s="191"/>
      <c r="C12" s="191"/>
      <c r="D12" s="60">
        <v>873.5131050000001</v>
      </c>
      <c r="E12" s="60">
        <v>890.4333550000001</v>
      </c>
      <c r="F12" s="60">
        <v>907.3536050000001</v>
      </c>
      <c r="G12" s="60">
        <v>924.2738550000001</v>
      </c>
      <c r="H12" s="60">
        <v>951.7293550000002</v>
      </c>
      <c r="I12" s="60">
        <v>968.6496050000001</v>
      </c>
      <c r="J12" s="4"/>
      <c r="K12" s="15"/>
    </row>
    <row r="13" spans="1:11" ht="12.75">
      <c r="A13" s="186" t="s">
        <v>50</v>
      </c>
      <c r="B13" s="191"/>
      <c r="C13" s="191"/>
      <c r="D13" s="60">
        <v>637.2881</v>
      </c>
      <c r="E13" s="60">
        <v>640.3531</v>
      </c>
      <c r="F13" s="60">
        <v>643.4181000000001</v>
      </c>
      <c r="G13" s="60">
        <v>646.4831</v>
      </c>
      <c r="H13" s="60">
        <v>652.6131</v>
      </c>
      <c r="I13" s="60">
        <v>655.6781000000001</v>
      </c>
      <c r="J13" s="4"/>
      <c r="K13" s="15"/>
    </row>
    <row r="14" spans="1:11" ht="12.75">
      <c r="A14" s="186" t="s">
        <v>51</v>
      </c>
      <c r="B14" s="191"/>
      <c r="C14" s="191"/>
      <c r="D14" s="60">
        <v>607.1885000000001</v>
      </c>
      <c r="E14" s="60">
        <v>607.1885000000001</v>
      </c>
      <c r="F14" s="60">
        <v>607.1885000000001</v>
      </c>
      <c r="G14" s="60">
        <v>607.1885000000001</v>
      </c>
      <c r="H14" s="60">
        <v>607.1885000000001</v>
      </c>
      <c r="I14" s="60">
        <v>607.1885000000001</v>
      </c>
      <c r="J14" s="4"/>
      <c r="K14" s="15"/>
    </row>
    <row r="15" spans="1:11" ht="12.75">
      <c r="A15" s="186" t="s">
        <v>52</v>
      </c>
      <c r="B15" s="191"/>
      <c r="C15" s="191"/>
      <c r="D15" s="60">
        <v>631.813276</v>
      </c>
      <c r="E15" s="60">
        <v>631.813276</v>
      </c>
      <c r="F15" s="60">
        <v>631.813276</v>
      </c>
      <c r="G15" s="60">
        <v>631.813276</v>
      </c>
      <c r="H15" s="60">
        <v>631.813276</v>
      </c>
      <c r="I15" s="60">
        <v>631.813276</v>
      </c>
      <c r="J15" s="4"/>
      <c r="K15" s="15"/>
    </row>
    <row r="16" spans="1:11" ht="12.75">
      <c r="A16" s="186" t="s">
        <v>53</v>
      </c>
      <c r="B16" s="191"/>
      <c r="C16" s="191"/>
      <c r="D16" s="60">
        <v>159.237</v>
      </c>
      <c r="E16" s="60">
        <v>185.7765</v>
      </c>
      <c r="F16" s="60">
        <v>212.316</v>
      </c>
      <c r="G16" s="60">
        <v>238.8555</v>
      </c>
      <c r="H16" s="60">
        <v>291.9345</v>
      </c>
      <c r="I16" s="60">
        <v>318.474</v>
      </c>
      <c r="J16" s="4"/>
      <c r="K16" s="15"/>
    </row>
    <row r="17" spans="1:11" ht="12.75">
      <c r="A17" s="186" t="s">
        <v>55</v>
      </c>
      <c r="B17" s="191"/>
      <c r="C17" s="191"/>
      <c r="D17" s="60">
        <v>503.16947876561346</v>
      </c>
      <c r="E17" s="60">
        <v>529.5936475753124</v>
      </c>
      <c r="F17" s="60">
        <v>564.5703512858192</v>
      </c>
      <c r="G17" s="60">
        <v>594.6467978324761</v>
      </c>
      <c r="H17" s="60">
        <v>644.2231846803821</v>
      </c>
      <c r="I17" s="60">
        <v>667.5252006612785</v>
      </c>
      <c r="J17" s="4"/>
      <c r="K17" s="15"/>
    </row>
    <row r="18" spans="1:11" ht="12.75">
      <c r="A18" s="186" t="s">
        <v>56</v>
      </c>
      <c r="B18" s="191"/>
      <c r="C18" s="191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86" t="s">
        <v>57</v>
      </c>
      <c r="B19" s="191"/>
      <c r="C19" s="191"/>
      <c r="D19" s="60">
        <v>299.49412500000005</v>
      </c>
      <c r="E19" s="60">
        <v>349.40981250000004</v>
      </c>
      <c r="F19" s="60">
        <v>399.3255000000001</v>
      </c>
      <c r="G19" s="60">
        <v>449.2411875</v>
      </c>
      <c r="H19" s="60">
        <v>549.0725625000001</v>
      </c>
      <c r="I19" s="60">
        <v>598.9882500000001</v>
      </c>
      <c r="J19" s="4"/>
      <c r="K19" s="15"/>
    </row>
    <row r="20" spans="1:11" ht="12.75">
      <c r="A20" s="186" t="s">
        <v>58</v>
      </c>
      <c r="B20" s="191"/>
      <c r="C20" s="191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86" t="s">
        <v>59</v>
      </c>
      <c r="B21" s="191"/>
      <c r="C21" s="191"/>
      <c r="D21" s="60">
        <v>180</v>
      </c>
      <c r="E21" s="60">
        <v>180</v>
      </c>
      <c r="F21" s="60">
        <v>180</v>
      </c>
      <c r="G21" s="60">
        <v>180</v>
      </c>
      <c r="H21" s="60">
        <v>180</v>
      </c>
      <c r="I21" s="60">
        <v>180</v>
      </c>
      <c r="J21" s="4"/>
      <c r="K21" s="15"/>
    </row>
    <row r="22" spans="1:11" ht="12.75">
      <c r="A22" s="186" t="s">
        <v>60</v>
      </c>
      <c r="B22" s="191"/>
      <c r="C22" s="191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86" t="s">
        <v>61</v>
      </c>
      <c r="B23" s="191"/>
      <c r="C23" s="191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86" t="s">
        <v>62</v>
      </c>
      <c r="B24" s="191"/>
      <c r="C24" s="191"/>
      <c r="D24" s="60">
        <v>578.915354175292</v>
      </c>
      <c r="E24" s="60">
        <v>609.3173512971808</v>
      </c>
      <c r="F24" s="60">
        <v>649.5593605425082</v>
      </c>
      <c r="G24" s="60">
        <v>684.1634401611824</v>
      </c>
      <c r="H24" s="60">
        <v>741.2029323442052</v>
      </c>
      <c r="I24" s="60">
        <v>768.0127755558257</v>
      </c>
      <c r="J24" s="4"/>
      <c r="K24" s="15"/>
    </row>
    <row r="25" spans="1:11" ht="13.5" thickBot="1">
      <c r="A25" s="238" t="s">
        <v>63</v>
      </c>
      <c r="B25" s="244"/>
      <c r="C25" s="245"/>
      <c r="D25" s="61">
        <f aca="true" t="shared" si="1" ref="D25:I25">SUM(D8:D24)</f>
        <v>7930.2214389409055</v>
      </c>
      <c r="E25" s="61">
        <f t="shared" si="1"/>
        <v>8346.680542372495</v>
      </c>
      <c r="F25" s="61">
        <f t="shared" si="1"/>
        <v>8897.932192828326</v>
      </c>
      <c r="G25" s="61">
        <f t="shared" si="1"/>
        <v>9371.95315649366</v>
      </c>
      <c r="H25" s="61">
        <f t="shared" si="1"/>
        <v>10153.303660524589</v>
      </c>
      <c r="I25" s="61">
        <f t="shared" si="1"/>
        <v>10520.555957217106</v>
      </c>
      <c r="J25" s="4"/>
      <c r="K25" s="15"/>
    </row>
    <row r="26" spans="1:11" ht="13.5" thickBot="1">
      <c r="A26" s="192"/>
      <c r="B26" s="193"/>
      <c r="C26" s="193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49" t="s">
        <v>64</v>
      </c>
      <c r="B27" s="250"/>
      <c r="C27" s="251"/>
      <c r="D27" s="61">
        <v>2369.2414333666666</v>
      </c>
      <c r="E27" s="61">
        <v>2369.2414333666666</v>
      </c>
      <c r="F27" s="61">
        <v>2369.2414333666666</v>
      </c>
      <c r="G27" s="61">
        <v>2369.2414333666666</v>
      </c>
      <c r="H27" s="61">
        <v>2369.2414333666666</v>
      </c>
      <c r="I27" s="61">
        <v>2369.2414333666666</v>
      </c>
      <c r="J27" s="4"/>
      <c r="K27" s="15"/>
    </row>
    <row r="28" spans="1:11" ht="13.5" thickBot="1">
      <c r="A28" s="192"/>
      <c r="B28" s="193"/>
      <c r="C28" s="193"/>
      <c r="D28" s="62"/>
      <c r="E28" s="62"/>
      <c r="F28" s="62"/>
      <c r="G28" s="62"/>
      <c r="H28" s="62"/>
      <c r="I28" s="62"/>
      <c r="J28" s="4"/>
      <c r="K28" s="4"/>
    </row>
    <row r="29" spans="1:11" ht="28.5" customHeight="1" thickBot="1">
      <c r="A29" s="238" t="s">
        <v>65</v>
      </c>
      <c r="B29" s="244"/>
      <c r="C29" s="245"/>
      <c r="D29" s="61">
        <f aca="true" t="shared" si="2" ref="D29:I29">D25+D27</f>
        <v>10299.462872307573</v>
      </c>
      <c r="E29" s="61">
        <f t="shared" si="2"/>
        <v>10715.921975739162</v>
      </c>
      <c r="F29" s="61">
        <f t="shared" si="2"/>
        <v>11267.173626194992</v>
      </c>
      <c r="G29" s="61">
        <f t="shared" si="2"/>
        <v>11741.194589860326</v>
      </c>
      <c r="H29" s="61">
        <f t="shared" si="2"/>
        <v>12522.545093891255</v>
      </c>
      <c r="I29" s="61">
        <f t="shared" si="2"/>
        <v>12889.797390583772</v>
      </c>
      <c r="J29" s="4"/>
      <c r="K29" s="4"/>
    </row>
    <row r="30" spans="1:11" ht="13.5" thickBot="1">
      <c r="A30" s="187"/>
      <c r="B30" s="188"/>
      <c r="C30" s="188"/>
      <c r="D30" s="64"/>
      <c r="E30" s="64"/>
      <c r="F30" s="64"/>
      <c r="G30" s="64"/>
      <c r="H30" s="64"/>
      <c r="I30" s="64"/>
      <c r="J30" s="4"/>
      <c r="K30" s="4"/>
    </row>
    <row r="31" spans="1:11" ht="27.75" customHeight="1" thickBot="1">
      <c r="A31" s="238" t="s">
        <v>66</v>
      </c>
      <c r="B31" s="239"/>
      <c r="C31" s="240"/>
      <c r="D31" s="61">
        <f aca="true" t="shared" si="3" ref="D31:I31">D29/D5</f>
        <v>3433.154290769191</v>
      </c>
      <c r="E31" s="61">
        <f t="shared" si="3"/>
        <v>3061.691993068332</v>
      </c>
      <c r="F31" s="61">
        <f t="shared" si="3"/>
        <v>2816.793406548748</v>
      </c>
      <c r="G31" s="61">
        <f t="shared" si="3"/>
        <v>2609.1543533022946</v>
      </c>
      <c r="H31" s="61">
        <f t="shared" si="3"/>
        <v>2276.826380707501</v>
      </c>
      <c r="I31" s="61">
        <f t="shared" si="3"/>
        <v>2148.2995650972953</v>
      </c>
      <c r="J31" s="4"/>
      <c r="K31" s="15"/>
    </row>
    <row r="32" spans="1:11" ht="13.5" thickBot="1">
      <c r="A32" s="205"/>
      <c r="B32" s="206"/>
      <c r="C32" s="206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203" t="s">
        <v>67</v>
      </c>
      <c r="B33" s="204"/>
      <c r="C33" s="204"/>
      <c r="D33" s="61">
        <f>'Pryse + Sensatiwiteitsanalise'!D4</f>
        <v>278</v>
      </c>
      <c r="E33" s="61">
        <f>$D$33</f>
        <v>278</v>
      </c>
      <c r="F33" s="61">
        <f>$D$33</f>
        <v>278</v>
      </c>
      <c r="G33" s="61">
        <f>$D$33</f>
        <v>278</v>
      </c>
      <c r="H33" s="61">
        <f>$D$33</f>
        <v>278</v>
      </c>
      <c r="I33" s="61">
        <f>$D$33</f>
        <v>278</v>
      </c>
      <c r="J33" s="4"/>
      <c r="K33" s="15"/>
    </row>
    <row r="34" spans="1:11" ht="13.5" thickBot="1">
      <c r="A34" s="205"/>
      <c r="B34" s="206"/>
      <c r="C34" s="206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41" t="s">
        <v>68</v>
      </c>
      <c r="B35" s="242"/>
      <c r="C35" s="243"/>
      <c r="D35" s="63">
        <f aca="true" t="shared" si="4" ref="D35:I35">D31+D33</f>
        <v>3711.154290769191</v>
      </c>
      <c r="E35" s="63">
        <f t="shared" si="4"/>
        <v>3339.691993068332</v>
      </c>
      <c r="F35" s="63">
        <f t="shared" si="4"/>
        <v>3094.793406548748</v>
      </c>
      <c r="G35" s="63">
        <f t="shared" si="4"/>
        <v>2887.1543533022946</v>
      </c>
      <c r="H35" s="63">
        <f t="shared" si="4"/>
        <v>2554.826380707501</v>
      </c>
      <c r="I35" s="63">
        <f t="shared" si="4"/>
        <v>2426.2995650972953</v>
      </c>
      <c r="J35" s="4"/>
      <c r="K35" s="15"/>
    </row>
    <row r="36" spans="1:10" ht="13.5" thickBot="1">
      <c r="A36" s="200" t="s">
        <v>69</v>
      </c>
      <c r="B36" s="201"/>
      <c r="C36" s="7"/>
      <c r="D36" s="63">
        <f>'Pryse + Sensatiwiteitsanalise'!B4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34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6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  <c r="P40" s="65"/>
    </row>
    <row r="41" spans="1:10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2522</v>
      </c>
      <c r="D44" s="47">
        <v>2622</v>
      </c>
      <c r="E44" s="48">
        <v>2722</v>
      </c>
      <c r="F44" s="47">
        <v>2822</v>
      </c>
      <c r="G44" s="49">
        <v>2922</v>
      </c>
      <c r="H44" s="45"/>
      <c r="I44" s="15"/>
      <c r="J44" s="4"/>
    </row>
    <row r="45" spans="1:10" ht="12.75">
      <c r="A45" s="5"/>
      <c r="B45" s="50">
        <v>3</v>
      </c>
      <c r="C45" s="73">
        <v>-2733.462872307573</v>
      </c>
      <c r="D45" s="74">
        <v>-2433.462872307573</v>
      </c>
      <c r="E45" s="74">
        <v>-2133.462872307573</v>
      </c>
      <c r="F45" s="74">
        <v>-1833.462872307573</v>
      </c>
      <c r="G45" s="75">
        <v>-1533.462872307573</v>
      </c>
      <c r="H45" s="45"/>
      <c r="I45" s="15"/>
      <c r="J45" s="4"/>
    </row>
    <row r="46" spans="1:10" ht="12.75">
      <c r="A46" s="5"/>
      <c r="B46" s="51"/>
      <c r="C46" s="76"/>
      <c r="D46" s="69"/>
      <c r="E46" s="69"/>
      <c r="F46" s="69"/>
      <c r="G46" s="70"/>
      <c r="H46" s="45"/>
      <c r="I46" s="15"/>
      <c r="J46" s="4"/>
    </row>
    <row r="47" spans="1:10" ht="12.75">
      <c r="A47" s="5"/>
      <c r="B47" s="50">
        <v>3.5</v>
      </c>
      <c r="C47" s="76">
        <v>-1888.921975739162</v>
      </c>
      <c r="D47" s="69">
        <v>-1538.921975739162</v>
      </c>
      <c r="E47" s="69">
        <v>-1188.921975739162</v>
      </c>
      <c r="F47" s="69">
        <v>-838.921975739162</v>
      </c>
      <c r="G47" s="70">
        <v>-488.921975739162</v>
      </c>
      <c r="H47" s="45"/>
      <c r="I47" s="15"/>
      <c r="J47" s="4"/>
    </row>
    <row r="48" spans="1:10" ht="13.5" thickBot="1">
      <c r="A48" s="52"/>
      <c r="B48" s="51"/>
      <c r="C48" s="76"/>
      <c r="D48" s="69"/>
      <c r="E48" s="69"/>
      <c r="F48" s="69"/>
      <c r="G48" s="70"/>
      <c r="H48" s="45"/>
      <c r="I48" s="15"/>
      <c r="J48" s="4"/>
    </row>
    <row r="49" spans="1:10" ht="13.5" thickBot="1">
      <c r="A49" s="53" t="s">
        <v>4</v>
      </c>
      <c r="B49" s="54">
        <v>4</v>
      </c>
      <c r="C49" s="76">
        <v>-1179.1736261949918</v>
      </c>
      <c r="D49" s="69">
        <v>-779.1736261949918</v>
      </c>
      <c r="E49" s="78">
        <v>-379.1736261949918</v>
      </c>
      <c r="F49" s="69">
        <v>20.82637380500819</v>
      </c>
      <c r="G49" s="70">
        <v>420.8263738050082</v>
      </c>
      <c r="H49" s="45"/>
      <c r="I49" s="15"/>
      <c r="J49" s="4"/>
    </row>
    <row r="50" spans="1:10" ht="12.75">
      <c r="A50" s="5"/>
      <c r="B50" s="51"/>
      <c r="C50" s="76"/>
      <c r="D50" s="69"/>
      <c r="E50" s="69"/>
      <c r="F50" s="69"/>
      <c r="G50" s="70"/>
      <c r="H50" s="45"/>
      <c r="I50" s="15"/>
      <c r="J50" s="4"/>
    </row>
    <row r="51" spans="1:10" ht="12.75">
      <c r="A51" s="5"/>
      <c r="B51" s="50">
        <v>4.5</v>
      </c>
      <c r="C51" s="76">
        <v>-392.19458986032623</v>
      </c>
      <c r="D51" s="69">
        <v>57.80541013967377</v>
      </c>
      <c r="E51" s="69">
        <v>507.80541013967377</v>
      </c>
      <c r="F51" s="69">
        <v>957.8054101396738</v>
      </c>
      <c r="G51" s="70">
        <v>1407.8054101396738</v>
      </c>
      <c r="H51" s="45"/>
      <c r="I51" s="15"/>
      <c r="J51" s="4"/>
    </row>
    <row r="52" spans="1:10" ht="12.75">
      <c r="A52" s="5"/>
      <c r="B52" s="51"/>
      <c r="C52" s="76"/>
      <c r="D52" s="69"/>
      <c r="E52" s="69"/>
      <c r="F52" s="69"/>
      <c r="G52" s="70"/>
      <c r="H52" s="45"/>
      <c r="I52" s="15"/>
      <c r="J52" s="4"/>
    </row>
    <row r="53" spans="1:10" ht="12.75">
      <c r="A53" s="5"/>
      <c r="B53" s="50">
        <v>5.5</v>
      </c>
      <c r="C53" s="76">
        <v>1348.4549061087455</v>
      </c>
      <c r="D53" s="69">
        <v>1898.4549061087455</v>
      </c>
      <c r="E53" s="69">
        <v>2448.4549061087455</v>
      </c>
      <c r="F53" s="69">
        <v>2998.4549061087455</v>
      </c>
      <c r="G53" s="70">
        <v>3548.4549061087455</v>
      </c>
      <c r="H53" s="45"/>
      <c r="I53" s="15"/>
      <c r="J53" s="4"/>
    </row>
    <row r="54" spans="1:9" ht="12.75">
      <c r="A54" s="5"/>
      <c r="B54" s="51"/>
      <c r="C54" s="76"/>
      <c r="D54" s="69"/>
      <c r="E54" s="69"/>
      <c r="F54" s="69"/>
      <c r="G54" s="70"/>
      <c r="H54" s="45"/>
      <c r="I54" s="15"/>
    </row>
    <row r="55" spans="1:9" ht="13.5" thickBot="1">
      <c r="A55" s="5"/>
      <c r="B55" s="55">
        <v>6</v>
      </c>
      <c r="C55" s="80">
        <v>2242.2026094162284</v>
      </c>
      <c r="D55" s="81">
        <v>2842.2026094162284</v>
      </c>
      <c r="E55" s="81">
        <v>3442.2026094162284</v>
      </c>
      <c r="F55" s="81">
        <v>4042.2026094162284</v>
      </c>
      <c r="G55" s="82">
        <v>4642.202609416228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208" t="s">
        <v>71</v>
      </c>
      <c r="B57" s="183"/>
      <c r="C57" s="183"/>
      <c r="D57" s="183"/>
      <c r="E57" s="183"/>
      <c r="F57" s="183"/>
      <c r="G57" s="183"/>
      <c r="H57" s="182"/>
      <c r="I57" s="102"/>
      <c r="J57" s="102"/>
    </row>
    <row r="58" spans="1:10" ht="15">
      <c r="A58" s="181" t="s">
        <v>72</v>
      </c>
      <c r="B58" s="180"/>
      <c r="C58" s="180"/>
      <c r="D58" s="180"/>
      <c r="E58" s="180"/>
      <c r="F58" s="180"/>
      <c r="G58" s="180"/>
      <c r="H58" s="179"/>
      <c r="I58" s="102"/>
      <c r="J58" s="102"/>
    </row>
    <row r="59" spans="1:10" ht="15.75" thickBot="1">
      <c r="A59" s="178" t="s">
        <v>73</v>
      </c>
      <c r="B59" s="210"/>
      <c r="C59" s="210"/>
      <c r="D59" s="210"/>
      <c r="E59" s="210"/>
      <c r="F59" s="210"/>
      <c r="G59" s="210"/>
      <c r="H59" s="209"/>
      <c r="I59" s="102"/>
      <c r="J59" s="102"/>
    </row>
    <row r="60" spans="1:8" ht="12.75">
      <c r="A60" s="226" t="s">
        <v>74</v>
      </c>
      <c r="B60" s="227"/>
      <c r="C60" s="227"/>
      <c r="D60" s="227"/>
      <c r="E60" s="227"/>
      <c r="F60" s="227"/>
      <c r="G60" s="227"/>
      <c r="H60" s="228"/>
    </row>
    <row r="61" spans="1:8" ht="12.75">
      <c r="A61" s="229"/>
      <c r="B61" s="230"/>
      <c r="C61" s="230"/>
      <c r="D61" s="230"/>
      <c r="E61" s="230"/>
      <c r="F61" s="230"/>
      <c r="G61" s="230"/>
      <c r="H61" s="231"/>
    </row>
    <row r="62" spans="1:8" ht="12.75">
      <c r="A62" s="229"/>
      <c r="B62" s="230"/>
      <c r="C62" s="230"/>
      <c r="D62" s="230"/>
      <c r="E62" s="230"/>
      <c r="F62" s="230"/>
      <c r="G62" s="230"/>
      <c r="H62" s="231"/>
    </row>
    <row r="63" spans="1:8" ht="13.5" thickBot="1">
      <c r="A63" s="232"/>
      <c r="B63" s="233"/>
      <c r="C63" s="233"/>
      <c r="D63" s="233"/>
      <c r="E63" s="233"/>
      <c r="F63" s="233"/>
      <c r="G63" s="233"/>
      <c r="H63" s="234"/>
    </row>
    <row r="117" ht="12.75"/>
    <row r="118" ht="12.75"/>
    <row r="119" ht="12.75"/>
    <row r="120" ht="12.75"/>
    <row r="121" ht="12.75"/>
    <row r="122" ht="12.75"/>
  </sheetData>
  <sheetProtection/>
  <mergeCells count="10">
    <mergeCell ref="A60:H63"/>
    <mergeCell ref="A1:D1"/>
    <mergeCell ref="E1:G1"/>
    <mergeCell ref="A31:C31"/>
    <mergeCell ref="A35:C35"/>
    <mergeCell ref="A29:C29"/>
    <mergeCell ref="A3:C3"/>
    <mergeCell ref="A8:C8"/>
    <mergeCell ref="A25:C25"/>
    <mergeCell ref="A27:C2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3.7109375" style="2" customWidth="1"/>
    <col min="5" max="9" width="14.28125" style="2" customWidth="1"/>
    <col min="10" max="10" width="14.421875" style="2" customWidth="1"/>
    <col min="11" max="11" width="12.7109375" style="2" hidden="1" customWidth="1"/>
    <col min="12" max="12" width="13.7109375" style="2" hidden="1" customWidth="1"/>
    <col min="13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0.75" customHeight="1" thickBot="1">
      <c r="A1" s="235" t="s">
        <v>39</v>
      </c>
      <c r="B1" s="236"/>
      <c r="C1" s="236"/>
      <c r="D1" s="236"/>
      <c r="E1" s="237" t="s">
        <v>70</v>
      </c>
      <c r="F1" s="237"/>
      <c r="G1" s="237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4.75" customHeight="1" thickBot="1">
      <c r="A3" s="241" t="s">
        <v>42</v>
      </c>
      <c r="B3" s="242"/>
      <c r="C3" s="242"/>
      <c r="D3" s="58"/>
      <c r="E3" s="71">
        <f>'Pryse + Sensatiwiteitsanalise'!B32</f>
        <v>5638</v>
      </c>
      <c r="F3" s="58" t="s">
        <v>3</v>
      </c>
      <c r="G3" s="20"/>
      <c r="H3" s="20"/>
      <c r="I3" s="7"/>
      <c r="K3" s="4"/>
    </row>
    <row r="4" spans="1:11" ht="13.5" thickBot="1">
      <c r="A4" s="202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84" t="s">
        <v>43</v>
      </c>
      <c r="B5" s="9"/>
      <c r="C5" s="9"/>
      <c r="D5" s="89">
        <v>1</v>
      </c>
      <c r="E5" s="89">
        <v>1.25</v>
      </c>
      <c r="F5" s="89">
        <v>1.5</v>
      </c>
      <c r="G5" s="89">
        <v>1.75</v>
      </c>
      <c r="H5" s="89">
        <v>2</v>
      </c>
      <c r="I5" s="89"/>
      <c r="J5" s="4"/>
      <c r="K5" s="15"/>
    </row>
    <row r="6" spans="1:11" ht="13.5" thickBot="1">
      <c r="A6" s="185" t="s">
        <v>44</v>
      </c>
      <c r="B6" s="204"/>
      <c r="C6" s="207"/>
      <c r="D6" s="67">
        <f aca="true" t="shared" si="0" ref="D6:I6">$E$3*D5</f>
        <v>5638</v>
      </c>
      <c r="E6" s="67">
        <f t="shared" si="0"/>
        <v>7047.5</v>
      </c>
      <c r="F6" s="67">
        <f t="shared" si="0"/>
        <v>8457</v>
      </c>
      <c r="G6" s="67">
        <f t="shared" si="0"/>
        <v>9866.5</v>
      </c>
      <c r="H6" s="67">
        <f t="shared" si="0"/>
        <v>11276</v>
      </c>
      <c r="I6" s="67">
        <f t="shared" si="0"/>
        <v>0</v>
      </c>
      <c r="J6" s="4"/>
      <c r="K6" s="15"/>
    </row>
    <row r="7" spans="1:13" ht="15.75" thickBot="1">
      <c r="A7" s="205"/>
      <c r="B7" s="206"/>
      <c r="C7" s="206"/>
      <c r="D7" s="23"/>
      <c r="E7" s="23"/>
      <c r="F7" s="23"/>
      <c r="G7" s="23"/>
      <c r="H7" s="23"/>
      <c r="I7" s="23"/>
      <c r="J7" s="4"/>
      <c r="K7" s="252" t="s">
        <v>91</v>
      </c>
      <c r="L7" s="252"/>
      <c r="M7" s="252"/>
    </row>
    <row r="8" spans="1:13" ht="15.75" thickBot="1">
      <c r="A8" s="246" t="s">
        <v>45</v>
      </c>
      <c r="B8" s="247"/>
      <c r="C8" s="248"/>
      <c r="D8" s="24"/>
      <c r="E8" s="24"/>
      <c r="F8" s="24"/>
      <c r="G8" s="24"/>
      <c r="H8" s="24"/>
      <c r="I8" s="24"/>
      <c r="J8" s="4"/>
      <c r="K8" s="215" t="s">
        <v>87</v>
      </c>
      <c r="L8" s="215" t="s">
        <v>88</v>
      </c>
      <c r="M8" s="215" t="s">
        <v>89</v>
      </c>
    </row>
    <row r="9" spans="1:13" ht="15">
      <c r="A9" s="189" t="s">
        <v>46</v>
      </c>
      <c r="B9" s="190"/>
      <c r="C9" s="190"/>
      <c r="D9" s="59">
        <v>447.22222222222223</v>
      </c>
      <c r="E9" s="59">
        <v>479.1666666666667</v>
      </c>
      <c r="F9" s="59">
        <v>511.11111111111114</v>
      </c>
      <c r="G9" s="59">
        <v>511.11111111111114</v>
      </c>
      <c r="H9" s="59">
        <v>511.11111111111114</v>
      </c>
      <c r="I9" s="59">
        <v>0</v>
      </c>
      <c r="J9" s="4"/>
      <c r="K9" s="216">
        <f>D5</f>
        <v>1</v>
      </c>
      <c r="L9" s="216">
        <f>D25</f>
        <v>3821.3505155468574</v>
      </c>
      <c r="M9" s="216">
        <f>D27</f>
        <v>1893.8644333666666</v>
      </c>
    </row>
    <row r="10" spans="1:13" ht="15">
      <c r="A10" s="186" t="s">
        <v>47</v>
      </c>
      <c r="B10" s="191"/>
      <c r="C10" s="191"/>
      <c r="D10" s="60">
        <v>1038.1235</v>
      </c>
      <c r="E10" s="60">
        <v>1268.2235</v>
      </c>
      <c r="F10" s="60">
        <v>1563.2235000000003</v>
      </c>
      <c r="G10" s="60">
        <v>1642.7235000000003</v>
      </c>
      <c r="H10" s="60">
        <v>2125.9235</v>
      </c>
      <c r="I10" s="60">
        <v>0</v>
      </c>
      <c r="J10" s="4"/>
      <c r="K10" s="216">
        <f>E5</f>
        <v>1.25</v>
      </c>
      <c r="L10" s="216">
        <f>E25</f>
        <v>4230.398859932352</v>
      </c>
      <c r="M10" s="216">
        <f>E27</f>
        <v>1893.8644333666666</v>
      </c>
    </row>
    <row r="11" spans="1:13" ht="15">
      <c r="A11" s="186" t="s">
        <v>48</v>
      </c>
      <c r="B11" s="191"/>
      <c r="C11" s="191"/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4"/>
      <c r="K11" s="216">
        <f>F5</f>
        <v>1.5</v>
      </c>
      <c r="L11" s="216">
        <f>F25</f>
        <v>4711.039509624033</v>
      </c>
      <c r="M11" s="216">
        <f>F27</f>
        <v>1893.8644333666666</v>
      </c>
    </row>
    <row r="12" spans="1:13" ht="15">
      <c r="A12" s="186" t="s">
        <v>49</v>
      </c>
      <c r="B12" s="191"/>
      <c r="C12" s="191"/>
      <c r="D12" s="60">
        <v>701.4912049999999</v>
      </c>
      <c r="E12" s="60">
        <v>713.14383</v>
      </c>
      <c r="F12" s="60">
        <v>724.7964549999999</v>
      </c>
      <c r="G12" s="60">
        <v>736.4490799999999</v>
      </c>
      <c r="H12" s="60">
        <v>748.1017049999999</v>
      </c>
      <c r="I12" s="60">
        <v>0</v>
      </c>
      <c r="J12" s="4"/>
      <c r="K12" s="216">
        <f>G5</f>
        <v>1.75</v>
      </c>
      <c r="L12" s="216">
        <f>G25</f>
        <v>4918.719940317461</v>
      </c>
      <c r="M12" s="216">
        <f>G27</f>
        <v>1893.8644333666666</v>
      </c>
    </row>
    <row r="13" spans="1:13" ht="15">
      <c r="A13" s="186" t="s">
        <v>50</v>
      </c>
      <c r="B13" s="191"/>
      <c r="C13" s="191"/>
      <c r="D13" s="60">
        <v>526.8181000000001</v>
      </c>
      <c r="E13" s="60">
        <v>528.3506</v>
      </c>
      <c r="F13" s="60">
        <v>529.8831</v>
      </c>
      <c r="G13" s="60">
        <v>531.4156</v>
      </c>
      <c r="H13" s="60">
        <v>532.9481000000001</v>
      </c>
      <c r="I13" s="60">
        <v>0</v>
      </c>
      <c r="J13" s="4"/>
      <c r="K13" s="216">
        <f>H5</f>
        <v>2</v>
      </c>
      <c r="L13" s="216">
        <f>H25</f>
        <v>5571.728778593448</v>
      </c>
      <c r="M13" s="216">
        <f>H27</f>
        <v>1893.8644333666666</v>
      </c>
    </row>
    <row r="14" spans="1:13" ht="15">
      <c r="A14" s="186" t="s">
        <v>51</v>
      </c>
      <c r="B14" s="191"/>
      <c r="C14" s="191"/>
      <c r="D14" s="60">
        <v>344.615</v>
      </c>
      <c r="E14" s="60">
        <v>344.615</v>
      </c>
      <c r="F14" s="60">
        <v>344.615</v>
      </c>
      <c r="G14" s="60">
        <v>344.615</v>
      </c>
      <c r="H14" s="60">
        <v>344.615</v>
      </c>
      <c r="I14" s="60">
        <v>0</v>
      </c>
      <c r="J14" s="4"/>
      <c r="K14" s="216">
        <f>I5</f>
        <v>0</v>
      </c>
      <c r="L14" s="216">
        <f>I25</f>
        <v>0</v>
      </c>
      <c r="M14" s="216">
        <f>I27</f>
        <v>0</v>
      </c>
    </row>
    <row r="15" spans="1:11" ht="12.75">
      <c r="A15" s="186" t="s">
        <v>52</v>
      </c>
      <c r="B15" s="191"/>
      <c r="C15" s="191"/>
      <c r="D15" s="60">
        <v>23.541276000000003</v>
      </c>
      <c r="E15" s="60">
        <v>23.541276000000003</v>
      </c>
      <c r="F15" s="60">
        <v>23.541276000000003</v>
      </c>
      <c r="G15" s="60">
        <v>23.541276000000003</v>
      </c>
      <c r="H15" s="60">
        <v>23.541276000000003</v>
      </c>
      <c r="I15" s="60">
        <v>0</v>
      </c>
      <c r="J15" s="4"/>
      <c r="K15" s="15"/>
    </row>
    <row r="16" spans="1:11" ht="12.75">
      <c r="A16" s="186" t="s">
        <v>53</v>
      </c>
      <c r="B16" s="191"/>
      <c r="C16" s="191"/>
      <c r="D16" s="60">
        <v>139.04502</v>
      </c>
      <c r="E16" s="60">
        <v>173.806275</v>
      </c>
      <c r="F16" s="60">
        <v>208.56753</v>
      </c>
      <c r="G16" s="60">
        <v>243.32878500000004</v>
      </c>
      <c r="H16" s="60">
        <v>278.09004</v>
      </c>
      <c r="I16" s="60">
        <v>0</v>
      </c>
      <c r="J16" s="4"/>
      <c r="K16" s="15"/>
    </row>
    <row r="17" spans="1:11" ht="12.75">
      <c r="A17" s="186" t="s">
        <v>55</v>
      </c>
      <c r="B17" s="191"/>
      <c r="C17" s="191"/>
      <c r="D17" s="60">
        <v>166.59850865127711</v>
      </c>
      <c r="E17" s="60">
        <v>184.4316919365181</v>
      </c>
      <c r="F17" s="60">
        <v>205.38606791172387</v>
      </c>
      <c r="G17" s="60">
        <v>214.44026220476647</v>
      </c>
      <c r="H17" s="60">
        <v>242.90933306081007</v>
      </c>
      <c r="I17" s="60">
        <v>0</v>
      </c>
      <c r="J17" s="4"/>
      <c r="K17" s="15"/>
    </row>
    <row r="18" spans="1:11" ht="12.75">
      <c r="A18" s="186" t="s">
        <v>56</v>
      </c>
      <c r="B18" s="191"/>
      <c r="C18" s="191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86" t="s">
        <v>57</v>
      </c>
      <c r="B19" s="191"/>
      <c r="C19" s="191"/>
      <c r="D19" s="60">
        <v>243.282</v>
      </c>
      <c r="E19" s="60">
        <v>304.1025</v>
      </c>
      <c r="F19" s="60">
        <v>364.923</v>
      </c>
      <c r="G19" s="60">
        <v>425.7435</v>
      </c>
      <c r="H19" s="60">
        <v>486.564</v>
      </c>
      <c r="I19" s="60">
        <v>0</v>
      </c>
      <c r="J19" s="4"/>
      <c r="K19" s="15"/>
    </row>
    <row r="20" spans="1:11" ht="12.75">
      <c r="A20" s="186" t="s">
        <v>58</v>
      </c>
      <c r="B20" s="191"/>
      <c r="C20" s="191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86" t="s">
        <v>59</v>
      </c>
      <c r="B21" s="191"/>
      <c r="C21" s="191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86" t="s">
        <v>60</v>
      </c>
      <c r="B22" s="191"/>
      <c r="C22" s="191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86" t="s">
        <v>61</v>
      </c>
      <c r="B23" s="191"/>
      <c r="C23" s="191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86" t="s">
        <v>62</v>
      </c>
      <c r="B24" s="191"/>
      <c r="C24" s="191"/>
      <c r="D24" s="60">
        <v>190.61368367335868</v>
      </c>
      <c r="E24" s="60">
        <v>211.01752032916718</v>
      </c>
      <c r="F24" s="60">
        <v>234.9924696011988</v>
      </c>
      <c r="G24" s="60">
        <v>245.3518260015836</v>
      </c>
      <c r="H24" s="60">
        <v>277.9247134215259</v>
      </c>
      <c r="I24" s="60">
        <v>0</v>
      </c>
      <c r="J24" s="4"/>
      <c r="K24" s="15"/>
    </row>
    <row r="25" spans="1:11" ht="13.5" thickBot="1">
      <c r="A25" s="238" t="s">
        <v>63</v>
      </c>
      <c r="B25" s="244"/>
      <c r="C25" s="245"/>
      <c r="D25" s="61">
        <f>SUM(D8:D24)</f>
        <v>3821.3505155468574</v>
      </c>
      <c r="E25" s="61">
        <f>SUM(E8:E24)</f>
        <v>4230.398859932352</v>
      </c>
      <c r="F25" s="61">
        <f>SUM(F8:F24)</f>
        <v>4711.039509624033</v>
      </c>
      <c r="G25" s="61">
        <f>SUM(G8:G24)</f>
        <v>4918.719940317461</v>
      </c>
      <c r="H25" s="61">
        <f>SUM(H8:H24)</f>
        <v>5571.728778593448</v>
      </c>
      <c r="I25" s="61">
        <v>0</v>
      </c>
      <c r="J25" s="4"/>
      <c r="K25" s="15"/>
    </row>
    <row r="26" spans="1:11" ht="13.5" thickBot="1">
      <c r="A26" s="192"/>
      <c r="B26" s="193"/>
      <c r="C26" s="193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49" t="s">
        <v>64</v>
      </c>
      <c r="B27" s="250"/>
      <c r="C27" s="251"/>
      <c r="D27" s="61">
        <v>1893.8644333666666</v>
      </c>
      <c r="E27" s="61">
        <v>1893.8644333666666</v>
      </c>
      <c r="F27" s="61">
        <v>1893.8644333666666</v>
      </c>
      <c r="G27" s="61">
        <v>1893.8644333666666</v>
      </c>
      <c r="H27" s="61">
        <v>1893.8644333666666</v>
      </c>
      <c r="I27" s="61">
        <v>0</v>
      </c>
      <c r="J27" s="25"/>
      <c r="K27" s="15"/>
    </row>
    <row r="28" spans="1:11" ht="13.5" thickBot="1">
      <c r="A28" s="192"/>
      <c r="B28" s="193"/>
      <c r="C28" s="193"/>
      <c r="D28" s="62"/>
      <c r="E28" s="62"/>
      <c r="F28" s="62"/>
      <c r="G28" s="62"/>
      <c r="H28" s="62"/>
      <c r="I28" s="62"/>
      <c r="J28" s="4"/>
      <c r="K28" s="15"/>
    </row>
    <row r="29" spans="1:11" ht="28.5" customHeight="1" thickBot="1">
      <c r="A29" s="238" t="s">
        <v>65</v>
      </c>
      <c r="B29" s="244"/>
      <c r="C29" s="245"/>
      <c r="D29" s="61">
        <f>D25+D27</f>
        <v>5715.2149489135245</v>
      </c>
      <c r="E29" s="61">
        <f>E25+E27</f>
        <v>6124.263293299018</v>
      </c>
      <c r="F29" s="61">
        <f>F25+F27</f>
        <v>6604.903942990699</v>
      </c>
      <c r="G29" s="61">
        <f>G25+G27</f>
        <v>6812.584373684127</v>
      </c>
      <c r="H29" s="61">
        <f>H25+H27</f>
        <v>7465.593211960115</v>
      </c>
      <c r="I29" s="61">
        <v>0</v>
      </c>
      <c r="J29" s="4"/>
      <c r="K29" s="4"/>
    </row>
    <row r="30" spans="1:11" ht="13.5" thickBot="1">
      <c r="A30" s="187"/>
      <c r="B30" s="188"/>
      <c r="C30" s="188"/>
      <c r="D30" s="64"/>
      <c r="E30" s="64"/>
      <c r="F30" s="64"/>
      <c r="G30" s="64"/>
      <c r="H30" s="64"/>
      <c r="I30" s="64"/>
      <c r="J30" s="4"/>
      <c r="K30" s="4"/>
    </row>
    <row r="31" spans="1:11" ht="27.75" customHeight="1" thickBot="1">
      <c r="A31" s="238" t="s">
        <v>66</v>
      </c>
      <c r="B31" s="239"/>
      <c r="C31" s="240"/>
      <c r="D31" s="61">
        <f>D29/D5</f>
        <v>5715.2149489135245</v>
      </c>
      <c r="E31" s="61">
        <f>E29/E5</f>
        <v>4899.410634639215</v>
      </c>
      <c r="F31" s="61">
        <f>F29/F5</f>
        <v>4403.269295327133</v>
      </c>
      <c r="G31" s="61">
        <f>G29/G5</f>
        <v>3892.9053563909297</v>
      </c>
      <c r="H31" s="61">
        <f>H29/H5</f>
        <v>3732.7966059800574</v>
      </c>
      <c r="I31" s="61">
        <v>0</v>
      </c>
      <c r="J31" s="4"/>
      <c r="K31" s="4"/>
    </row>
    <row r="32" spans="1:11" ht="13.5" thickBot="1">
      <c r="A32" s="205"/>
      <c r="B32" s="206"/>
      <c r="C32" s="206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203" t="s">
        <v>67</v>
      </c>
      <c r="B33" s="204"/>
      <c r="C33" s="204"/>
      <c r="D33" s="61">
        <f>'Pryse + Sensatiwiteitsanalise'!D5</f>
        <v>362</v>
      </c>
      <c r="E33" s="61">
        <f>$D$33</f>
        <v>362</v>
      </c>
      <c r="F33" s="61">
        <f>$D$33</f>
        <v>362</v>
      </c>
      <c r="G33" s="61">
        <f>$D$33</f>
        <v>362</v>
      </c>
      <c r="H33" s="61">
        <f>$D$33</f>
        <v>362</v>
      </c>
      <c r="I33" s="61">
        <v>0</v>
      </c>
      <c r="J33" s="4"/>
      <c r="K33" s="15"/>
    </row>
    <row r="34" spans="1:11" ht="13.5" thickBot="1">
      <c r="A34" s="205"/>
      <c r="B34" s="206"/>
      <c r="C34" s="206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41" t="s">
        <v>68</v>
      </c>
      <c r="B35" s="242"/>
      <c r="C35" s="243"/>
      <c r="D35" s="63">
        <f>D31+D33</f>
        <v>6077.2149489135245</v>
      </c>
      <c r="E35" s="63">
        <f>E31+E33</f>
        <v>5261.410634639215</v>
      </c>
      <c r="F35" s="63">
        <f>F31+F33</f>
        <v>4765.269295327133</v>
      </c>
      <c r="G35" s="63">
        <f>G31+G33</f>
        <v>4254.905356390929</v>
      </c>
      <c r="H35" s="63">
        <f>H31+H33</f>
        <v>4094.7966059800574</v>
      </c>
      <c r="I35" s="63">
        <v>0</v>
      </c>
      <c r="J35" s="4"/>
      <c r="K35" s="15"/>
    </row>
    <row r="36" spans="1:11" ht="13.5" thickBot="1">
      <c r="A36" s="200" t="s">
        <v>69</v>
      </c>
      <c r="B36" s="201"/>
      <c r="C36" s="7"/>
      <c r="D36" s="63">
        <f>'Pryse + Sensatiwiteitsanalise'!B5</f>
        <v>6000</v>
      </c>
      <c r="E36" s="63">
        <f>$D$36</f>
        <v>6000</v>
      </c>
      <c r="F36" s="63">
        <f>$D$36</f>
        <v>6000</v>
      </c>
      <c r="G36" s="63">
        <f>$D$36</f>
        <v>6000</v>
      </c>
      <c r="H36" s="63">
        <f>$D$36</f>
        <v>6000</v>
      </c>
      <c r="I36" s="63">
        <v>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33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6038</v>
      </c>
      <c r="D44" s="47">
        <v>6138</v>
      </c>
      <c r="E44" s="48">
        <v>6238</v>
      </c>
      <c r="F44" s="47">
        <v>6338</v>
      </c>
      <c r="G44" s="49">
        <v>6438</v>
      </c>
      <c r="H44" s="45"/>
      <c r="I44" s="15"/>
      <c r="J44" s="4"/>
    </row>
    <row r="45" spans="1:10" ht="12.75">
      <c r="A45" s="5"/>
      <c r="B45" s="72">
        <v>1</v>
      </c>
      <c r="C45" s="73">
        <v>5515.2149489135245</v>
      </c>
      <c r="D45" s="74">
        <v>5615.2149489135245</v>
      </c>
      <c r="E45" s="74">
        <v>5715.2149489135245</v>
      </c>
      <c r="F45" s="74">
        <v>5815.2149489135245</v>
      </c>
      <c r="G45" s="75">
        <v>5915.2149489135245</v>
      </c>
      <c r="H45" s="45"/>
      <c r="I45" s="15"/>
      <c r="J45" s="4"/>
    </row>
    <row r="46" spans="1:10" ht="12.75">
      <c r="A46" s="5"/>
      <c r="B46" s="72"/>
      <c r="C46" s="76"/>
      <c r="D46" s="69"/>
      <c r="E46" s="69"/>
      <c r="F46" s="69"/>
      <c r="G46" s="70"/>
      <c r="H46" s="45"/>
      <c r="I46" s="15"/>
      <c r="J46" s="4"/>
    </row>
    <row r="47" spans="1:10" ht="12.75">
      <c r="A47" s="5"/>
      <c r="B47" s="72">
        <v>1.25</v>
      </c>
      <c r="C47" s="76">
        <v>5874.263293299018</v>
      </c>
      <c r="D47" s="69">
        <v>5999.263293299018</v>
      </c>
      <c r="E47" s="69">
        <v>6124.263293299018</v>
      </c>
      <c r="F47" s="69">
        <v>6249.263293299018</v>
      </c>
      <c r="G47" s="70">
        <v>6374.263293299018</v>
      </c>
      <c r="H47" s="45"/>
      <c r="I47" s="15"/>
      <c r="J47" s="4"/>
    </row>
    <row r="48" spans="1:10" ht="13.5" thickBot="1">
      <c r="A48" s="52"/>
      <c r="B48" s="72"/>
      <c r="C48" s="76"/>
      <c r="D48" s="69"/>
      <c r="E48" s="69"/>
      <c r="F48" s="69"/>
      <c r="G48" s="70"/>
      <c r="H48" s="45"/>
      <c r="I48" s="15"/>
      <c r="J48" s="4"/>
    </row>
    <row r="49" spans="1:10" ht="13.5" thickBot="1">
      <c r="A49" s="53" t="s">
        <v>4</v>
      </c>
      <c r="B49" s="77">
        <v>1.5</v>
      </c>
      <c r="C49" s="76">
        <v>6304.903942990699</v>
      </c>
      <c r="D49" s="69">
        <v>6454.903942990699</v>
      </c>
      <c r="E49" s="78">
        <v>6604.903942990699</v>
      </c>
      <c r="F49" s="69">
        <v>6754.903942990699</v>
      </c>
      <c r="G49" s="70">
        <v>6904.903942990699</v>
      </c>
      <c r="H49" s="45"/>
      <c r="I49" s="15"/>
      <c r="J49" s="4"/>
    </row>
    <row r="50" spans="1:10" ht="12.75">
      <c r="A50" s="5"/>
      <c r="B50" s="72"/>
      <c r="C50" s="76"/>
      <c r="D50" s="69"/>
      <c r="E50" s="69"/>
      <c r="F50" s="69"/>
      <c r="G50" s="70"/>
      <c r="H50" s="45"/>
      <c r="I50" s="15"/>
      <c r="J50" s="4"/>
    </row>
    <row r="51" spans="1:10" ht="12.75">
      <c r="A51" s="5"/>
      <c r="B51" s="72">
        <v>1.75</v>
      </c>
      <c r="C51" s="76">
        <v>6462.584373684127</v>
      </c>
      <c r="D51" s="69">
        <v>6637.584373684127</v>
      </c>
      <c r="E51" s="69">
        <v>6812.584373684127</v>
      </c>
      <c r="F51" s="69">
        <v>6987.584373684127</v>
      </c>
      <c r="G51" s="70">
        <v>7162.584373684127</v>
      </c>
      <c r="H51" s="45"/>
      <c r="I51" s="15"/>
      <c r="J51" s="4"/>
    </row>
    <row r="52" spans="1:10" ht="12.75">
      <c r="A52" s="5"/>
      <c r="B52" s="72"/>
      <c r="C52" s="76"/>
      <c r="D52" s="69"/>
      <c r="E52" s="69"/>
      <c r="F52" s="69"/>
      <c r="G52" s="70"/>
      <c r="H52" s="45"/>
      <c r="I52" s="15"/>
      <c r="J52" s="4"/>
    </row>
    <row r="53" spans="1:10" ht="12.75">
      <c r="A53" s="5"/>
      <c r="B53" s="72">
        <v>2</v>
      </c>
      <c r="C53" s="76">
        <v>7065.593211960115</v>
      </c>
      <c r="D53" s="69">
        <v>7265.593211960115</v>
      </c>
      <c r="E53" s="69">
        <v>7465.593211960115</v>
      </c>
      <c r="F53" s="69">
        <v>7665.593211960115</v>
      </c>
      <c r="G53" s="70">
        <v>7865.593211960115</v>
      </c>
      <c r="H53" s="45"/>
      <c r="I53" s="15"/>
      <c r="J53" s="4"/>
    </row>
    <row r="54" spans="1:10" ht="12.75">
      <c r="A54" s="5"/>
      <c r="B54" s="72"/>
      <c r="C54" s="76"/>
      <c r="D54" s="69"/>
      <c r="E54" s="69"/>
      <c r="F54" s="69"/>
      <c r="G54" s="70"/>
      <c r="H54" s="45"/>
      <c r="I54" s="15"/>
      <c r="J54" s="4"/>
    </row>
    <row r="55" spans="1:9" ht="13.5" thickBot="1">
      <c r="A55" s="5"/>
      <c r="B55" s="79">
        <v>0</v>
      </c>
      <c r="C55" s="80">
        <v>0</v>
      </c>
      <c r="D55" s="81">
        <v>0</v>
      </c>
      <c r="E55" s="81">
        <v>0</v>
      </c>
      <c r="F55" s="81">
        <v>0</v>
      </c>
      <c r="G55" s="82">
        <v>0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208" t="s">
        <v>71</v>
      </c>
      <c r="B57" s="183"/>
      <c r="C57" s="183"/>
      <c r="D57" s="183"/>
      <c r="E57" s="183"/>
      <c r="F57" s="183"/>
      <c r="G57" s="183"/>
      <c r="H57" s="182"/>
      <c r="I57" s="102"/>
      <c r="J57" s="102"/>
    </row>
    <row r="58" spans="1:10" ht="15">
      <c r="A58" s="181" t="s">
        <v>72</v>
      </c>
      <c r="B58" s="180"/>
      <c r="C58" s="180"/>
      <c r="D58" s="180"/>
      <c r="E58" s="180"/>
      <c r="F58" s="180"/>
      <c r="G58" s="180"/>
      <c r="H58" s="179"/>
      <c r="I58" s="102"/>
      <c r="J58" s="102"/>
    </row>
    <row r="59" spans="1:10" ht="15.75" thickBot="1">
      <c r="A59" s="178" t="s">
        <v>73</v>
      </c>
      <c r="B59" s="210"/>
      <c r="C59" s="210"/>
      <c r="D59" s="210"/>
      <c r="E59" s="210"/>
      <c r="F59" s="210"/>
      <c r="G59" s="210"/>
      <c r="H59" s="209"/>
      <c r="I59" s="102"/>
      <c r="J59" s="102"/>
    </row>
  </sheetData>
  <sheetProtection/>
  <mergeCells count="10">
    <mergeCell ref="K7:M7"/>
    <mergeCell ref="A1:D1"/>
    <mergeCell ref="E1:G1"/>
    <mergeCell ref="A31:C31"/>
    <mergeCell ref="A35:C35"/>
    <mergeCell ref="A29:C29"/>
    <mergeCell ref="A3:C3"/>
    <mergeCell ref="A8:C8"/>
    <mergeCell ref="A25:C25"/>
    <mergeCell ref="A27:C27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0" r:id="rId2"/>
  <headerFooter alignWithMargins="0">
    <oddHeader>&amp;C&amp;F</oddHeader>
    <oddFooter>&amp;C&amp;A&amp;RPage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3.8515625" style="2" customWidth="1"/>
    <col min="5" max="9" width="14.28125" style="2" customWidth="1"/>
    <col min="10" max="10" width="14.421875" style="2" customWidth="1"/>
    <col min="11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0.75" customHeight="1" thickBot="1">
      <c r="A1" s="235" t="s">
        <v>40</v>
      </c>
      <c r="B1" s="236"/>
      <c r="C1" s="236"/>
      <c r="D1" s="236"/>
      <c r="E1" s="237" t="s">
        <v>70</v>
      </c>
      <c r="F1" s="237"/>
      <c r="G1" s="237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6"/>
      <c r="H2" s="12"/>
      <c r="I2" s="6"/>
      <c r="J2" s="4"/>
    </row>
    <row r="3" spans="1:11" ht="24.75" customHeight="1" thickBot="1">
      <c r="A3" s="241" t="s">
        <v>42</v>
      </c>
      <c r="B3" s="242"/>
      <c r="C3" s="242"/>
      <c r="D3" s="58"/>
      <c r="E3" s="71">
        <f>'Pryse + Sensatiwiteitsanalise'!B45</f>
        <v>6138</v>
      </c>
      <c r="F3" s="58" t="s">
        <v>3</v>
      </c>
      <c r="G3" s="7"/>
      <c r="H3" s="20"/>
      <c r="I3" s="7"/>
      <c r="K3" s="4"/>
    </row>
    <row r="4" spans="1:11" ht="13.5" thickBot="1">
      <c r="A4" s="202"/>
      <c r="B4" s="9"/>
      <c r="C4" s="9"/>
      <c r="D4" s="8"/>
      <c r="E4" s="11"/>
      <c r="F4" s="21"/>
      <c r="G4" s="97"/>
      <c r="H4" s="22"/>
      <c r="I4" s="22"/>
      <c r="J4" s="4"/>
      <c r="K4" s="15"/>
    </row>
    <row r="5" spans="1:11" ht="13.5" thickBot="1">
      <c r="A5" s="184" t="s">
        <v>43</v>
      </c>
      <c r="B5" s="9"/>
      <c r="C5" s="9"/>
      <c r="D5" s="89">
        <v>1</v>
      </c>
      <c r="E5" s="89">
        <v>1.5</v>
      </c>
      <c r="F5" s="89">
        <v>1.8</v>
      </c>
      <c r="G5" s="89">
        <v>2</v>
      </c>
      <c r="H5" s="90">
        <v>0</v>
      </c>
      <c r="I5" s="89">
        <v>0</v>
      </c>
      <c r="J5" s="4"/>
      <c r="K5" s="15"/>
    </row>
    <row r="6" spans="1:11" ht="13.5" thickBot="1">
      <c r="A6" s="185" t="s">
        <v>44</v>
      </c>
      <c r="B6" s="204"/>
      <c r="C6" s="207"/>
      <c r="D6" s="67">
        <f aca="true" t="shared" si="0" ref="D6:I6">$E$3*D5</f>
        <v>6138</v>
      </c>
      <c r="E6" s="67">
        <f t="shared" si="0"/>
        <v>9207</v>
      </c>
      <c r="F6" s="67">
        <f t="shared" si="0"/>
        <v>11048.4</v>
      </c>
      <c r="G6" s="67">
        <f t="shared" si="0"/>
        <v>12276</v>
      </c>
      <c r="H6" s="67">
        <f t="shared" si="0"/>
        <v>0</v>
      </c>
      <c r="I6" s="67">
        <f t="shared" si="0"/>
        <v>0</v>
      </c>
      <c r="J6" s="4"/>
      <c r="K6" s="15"/>
    </row>
    <row r="7" spans="1:13" ht="15.75" thickBot="1">
      <c r="A7" s="205"/>
      <c r="B7" s="206"/>
      <c r="C7" s="206"/>
      <c r="D7" s="23"/>
      <c r="E7" s="23"/>
      <c r="F7" s="23"/>
      <c r="G7" s="23"/>
      <c r="H7" s="91"/>
      <c r="I7" s="23"/>
      <c r="J7" s="4"/>
      <c r="K7" s="252" t="s">
        <v>92</v>
      </c>
      <c r="L7" s="252"/>
      <c r="M7" s="252"/>
    </row>
    <row r="8" spans="1:13" ht="15.75" thickBot="1">
      <c r="A8" s="246" t="s">
        <v>45</v>
      </c>
      <c r="B8" s="247"/>
      <c r="C8" s="248"/>
      <c r="D8" s="24"/>
      <c r="E8" s="24"/>
      <c r="F8" s="24"/>
      <c r="G8" s="24"/>
      <c r="H8" s="7"/>
      <c r="I8" s="24"/>
      <c r="J8" s="4"/>
      <c r="K8" s="215" t="s">
        <v>87</v>
      </c>
      <c r="L8" s="215" t="s">
        <v>88</v>
      </c>
      <c r="M8" s="215" t="s">
        <v>89</v>
      </c>
    </row>
    <row r="9" spans="1:13" ht="15">
      <c r="A9" s="189" t="s">
        <v>46</v>
      </c>
      <c r="B9" s="190"/>
      <c r="C9" s="190"/>
      <c r="D9" s="59">
        <v>933.45</v>
      </c>
      <c r="E9" s="59">
        <v>933.45</v>
      </c>
      <c r="F9" s="59">
        <v>933.45</v>
      </c>
      <c r="G9" s="59">
        <v>933.45</v>
      </c>
      <c r="H9" s="92">
        <v>0</v>
      </c>
      <c r="I9" s="59">
        <v>0</v>
      </c>
      <c r="J9" s="4"/>
      <c r="K9" s="216">
        <f>D5</f>
        <v>1</v>
      </c>
      <c r="L9" s="216">
        <f>D25</f>
        <v>5709.879601806768</v>
      </c>
      <c r="M9" s="216">
        <f>D27</f>
        <v>1761.994433366667</v>
      </c>
    </row>
    <row r="10" spans="1:13" ht="15">
      <c r="A10" s="186" t="s">
        <v>47</v>
      </c>
      <c r="B10" s="191"/>
      <c r="C10" s="191"/>
      <c r="D10" s="60">
        <v>810.19082</v>
      </c>
      <c r="E10" s="60">
        <v>1227.39082</v>
      </c>
      <c r="F10" s="60">
        <v>1509.51082</v>
      </c>
      <c r="G10" s="60">
        <v>1614.9008199999998</v>
      </c>
      <c r="H10" s="93">
        <v>0</v>
      </c>
      <c r="I10" s="60">
        <v>0</v>
      </c>
      <c r="J10" s="4"/>
      <c r="K10" s="216">
        <f>E5</f>
        <v>1.5</v>
      </c>
      <c r="L10" s="216">
        <f>E25</f>
        <v>6708.082342381566</v>
      </c>
      <c r="M10" s="216">
        <f>E27</f>
        <v>1761.994433366667</v>
      </c>
    </row>
    <row r="11" spans="1:13" ht="15">
      <c r="A11" s="186" t="s">
        <v>48</v>
      </c>
      <c r="B11" s="191"/>
      <c r="C11" s="191"/>
      <c r="D11" s="60">
        <v>0</v>
      </c>
      <c r="E11" s="60">
        <v>0</v>
      </c>
      <c r="F11" s="60">
        <v>0</v>
      </c>
      <c r="G11" s="60">
        <v>0</v>
      </c>
      <c r="H11" s="93">
        <v>0</v>
      </c>
      <c r="I11" s="60">
        <v>0</v>
      </c>
      <c r="J11" s="4"/>
      <c r="K11" s="216">
        <f>F5</f>
        <v>1.8</v>
      </c>
      <c r="L11" s="216">
        <f>F25</f>
        <v>7344.1463812945685</v>
      </c>
      <c r="M11" s="216">
        <f>F27</f>
        <v>1761.994433366667</v>
      </c>
    </row>
    <row r="12" spans="1:13" ht="15">
      <c r="A12" s="186" t="s">
        <v>49</v>
      </c>
      <c r="B12" s="191"/>
      <c r="C12" s="191"/>
      <c r="D12" s="60">
        <v>652.1185</v>
      </c>
      <c r="E12" s="60">
        <v>669.0387499999999</v>
      </c>
      <c r="F12" s="60">
        <v>681.7449</v>
      </c>
      <c r="G12" s="60">
        <v>692.344</v>
      </c>
      <c r="H12" s="93">
        <v>0</v>
      </c>
      <c r="I12" s="60">
        <v>0</v>
      </c>
      <c r="J12" s="4"/>
      <c r="K12" s="216">
        <f>G5</f>
        <v>2</v>
      </c>
      <c r="L12" s="216">
        <f>G25</f>
        <v>7681.088497248442</v>
      </c>
      <c r="M12" s="216">
        <f>G27</f>
        <v>1761.994433366667</v>
      </c>
    </row>
    <row r="13" spans="1:13" ht="15">
      <c r="A13" s="186" t="s">
        <v>50</v>
      </c>
      <c r="B13" s="191"/>
      <c r="C13" s="191"/>
      <c r="D13" s="60">
        <v>505.93000000000006</v>
      </c>
      <c r="E13" s="60">
        <v>508.995</v>
      </c>
      <c r="F13" s="60">
        <v>510.83400000000006</v>
      </c>
      <c r="G13" s="60">
        <v>512.0600000000001</v>
      </c>
      <c r="H13" s="93">
        <v>0</v>
      </c>
      <c r="I13" s="60">
        <v>0</v>
      </c>
      <c r="J13" s="4"/>
      <c r="K13" s="216">
        <f>H5</f>
        <v>0</v>
      </c>
      <c r="L13" s="216">
        <f>H25</f>
        <v>0</v>
      </c>
      <c r="M13" s="216">
        <f>H27</f>
        <v>0</v>
      </c>
    </row>
    <row r="14" spans="1:11" ht="12.75">
      <c r="A14" s="186" t="s">
        <v>51</v>
      </c>
      <c r="B14" s="191"/>
      <c r="C14" s="191"/>
      <c r="D14" s="60">
        <v>581.6847</v>
      </c>
      <c r="E14" s="60">
        <v>581.6847</v>
      </c>
      <c r="F14" s="60">
        <v>581.6847</v>
      </c>
      <c r="G14" s="60">
        <v>581.6847</v>
      </c>
      <c r="H14" s="93">
        <v>0</v>
      </c>
      <c r="I14" s="60">
        <v>0</v>
      </c>
      <c r="J14" s="4"/>
      <c r="K14" s="15"/>
    </row>
    <row r="15" spans="1:11" ht="12.75">
      <c r="A15" s="186" t="s">
        <v>52</v>
      </c>
      <c r="B15" s="191"/>
      <c r="C15" s="191"/>
      <c r="D15" s="60">
        <v>672.6886</v>
      </c>
      <c r="E15" s="60">
        <v>672.6886</v>
      </c>
      <c r="F15" s="60">
        <v>672.6886</v>
      </c>
      <c r="G15" s="60">
        <v>672.6886</v>
      </c>
      <c r="H15" s="93">
        <v>0</v>
      </c>
      <c r="I15" s="60">
        <v>0</v>
      </c>
      <c r="J15" s="4"/>
      <c r="K15" s="15"/>
    </row>
    <row r="16" spans="1:11" ht="12.75">
      <c r="A16" s="186" t="s">
        <v>53</v>
      </c>
      <c r="B16" s="191"/>
      <c r="C16" s="191"/>
      <c r="D16" s="60">
        <v>217.50263999999999</v>
      </c>
      <c r="E16" s="60">
        <v>326.25396</v>
      </c>
      <c r="F16" s="60">
        <v>391.50475200000005</v>
      </c>
      <c r="G16" s="60">
        <v>435.00527999999997</v>
      </c>
      <c r="H16" s="93">
        <v>0</v>
      </c>
      <c r="I16" s="60">
        <v>0</v>
      </c>
      <c r="J16" s="4"/>
      <c r="K16" s="15"/>
    </row>
    <row r="17" spans="1:11" ht="12.75">
      <c r="A17" s="186" t="s">
        <v>55</v>
      </c>
      <c r="B17" s="191"/>
      <c r="C17" s="191"/>
      <c r="D17" s="60">
        <v>156.75931314930244</v>
      </c>
      <c r="E17" s="60">
        <v>184.16401988720693</v>
      </c>
      <c r="F17" s="60">
        <v>201.62655304244583</v>
      </c>
      <c r="G17" s="60">
        <v>210.87697833184924</v>
      </c>
      <c r="H17" s="93">
        <v>0</v>
      </c>
      <c r="I17" s="60">
        <v>0</v>
      </c>
      <c r="J17" s="4"/>
      <c r="K17" s="15"/>
    </row>
    <row r="18" spans="1:11" ht="12.75">
      <c r="A18" s="186" t="s">
        <v>56</v>
      </c>
      <c r="B18" s="191"/>
      <c r="C18" s="191"/>
      <c r="D18" s="60">
        <v>0</v>
      </c>
      <c r="E18" s="60">
        <v>0</v>
      </c>
      <c r="F18" s="60">
        <v>0</v>
      </c>
      <c r="G18" s="60">
        <v>0</v>
      </c>
      <c r="H18" s="93">
        <v>0</v>
      </c>
      <c r="I18" s="60">
        <v>0</v>
      </c>
      <c r="J18" s="4"/>
      <c r="K18" s="15"/>
    </row>
    <row r="19" spans="1:11" ht="12.75">
      <c r="A19" s="186" t="s">
        <v>57</v>
      </c>
      <c r="B19" s="191"/>
      <c r="C19" s="191"/>
      <c r="D19" s="60">
        <v>754.6560000000001</v>
      </c>
      <c r="E19" s="60">
        <v>1131.984</v>
      </c>
      <c r="F19" s="60">
        <v>1358.3808</v>
      </c>
      <c r="G19" s="60">
        <v>1509.3120000000001</v>
      </c>
      <c r="H19" s="93">
        <v>0</v>
      </c>
      <c r="I19" s="60">
        <v>0</v>
      </c>
      <c r="J19" s="4"/>
      <c r="K19" s="15"/>
    </row>
    <row r="20" spans="1:11" ht="12.75">
      <c r="A20" s="186" t="s">
        <v>58</v>
      </c>
      <c r="B20" s="191"/>
      <c r="C20" s="191"/>
      <c r="D20" s="60">
        <v>153</v>
      </c>
      <c r="E20" s="60">
        <v>153</v>
      </c>
      <c r="F20" s="60">
        <v>153</v>
      </c>
      <c r="G20" s="60">
        <v>153</v>
      </c>
      <c r="H20" s="93">
        <v>0</v>
      </c>
      <c r="I20" s="60">
        <v>0</v>
      </c>
      <c r="J20" s="4"/>
      <c r="K20" s="15"/>
    </row>
    <row r="21" spans="1:11" ht="12.75">
      <c r="A21" s="186" t="s">
        <v>59</v>
      </c>
      <c r="B21" s="191"/>
      <c r="C21" s="191"/>
      <c r="D21" s="60">
        <v>0</v>
      </c>
      <c r="E21" s="60">
        <v>0</v>
      </c>
      <c r="F21" s="60">
        <v>0</v>
      </c>
      <c r="G21" s="60">
        <v>0</v>
      </c>
      <c r="H21" s="93">
        <v>0</v>
      </c>
      <c r="I21" s="60">
        <v>0</v>
      </c>
      <c r="J21" s="4"/>
      <c r="K21" s="15"/>
    </row>
    <row r="22" spans="1:11" ht="12.75">
      <c r="A22" s="186" t="s">
        <v>60</v>
      </c>
      <c r="B22" s="191"/>
      <c r="C22" s="191"/>
      <c r="D22" s="60">
        <v>0</v>
      </c>
      <c r="E22" s="60">
        <v>0</v>
      </c>
      <c r="F22" s="60">
        <v>0</v>
      </c>
      <c r="G22" s="60">
        <v>0</v>
      </c>
      <c r="H22" s="93">
        <v>0</v>
      </c>
      <c r="I22" s="60">
        <v>0</v>
      </c>
      <c r="J22" s="4"/>
      <c r="K22" s="15"/>
    </row>
    <row r="23" spans="1:11" ht="12.75">
      <c r="A23" s="186" t="s">
        <v>61</v>
      </c>
      <c r="B23" s="191"/>
      <c r="C23" s="191"/>
      <c r="D23" s="60">
        <v>0</v>
      </c>
      <c r="E23" s="60">
        <v>0</v>
      </c>
      <c r="F23" s="60">
        <v>0</v>
      </c>
      <c r="G23" s="60">
        <v>0</v>
      </c>
      <c r="H23" s="93">
        <v>0</v>
      </c>
      <c r="I23" s="60">
        <v>0</v>
      </c>
      <c r="J23" s="4"/>
      <c r="K23" s="15"/>
    </row>
    <row r="24" spans="1:11" ht="13.5" thickBot="1">
      <c r="A24" s="186" t="s">
        <v>62</v>
      </c>
      <c r="B24" s="191"/>
      <c r="C24" s="191"/>
      <c r="D24" s="60">
        <v>271.8990286574651</v>
      </c>
      <c r="E24" s="60">
        <v>319.4324924943603</v>
      </c>
      <c r="F24" s="60">
        <v>349.7212562521224</v>
      </c>
      <c r="G24" s="60">
        <v>365.76611891659246</v>
      </c>
      <c r="H24" s="93">
        <v>0</v>
      </c>
      <c r="I24" s="60">
        <v>0</v>
      </c>
      <c r="J24" s="4"/>
      <c r="K24" s="15"/>
    </row>
    <row r="25" spans="1:11" ht="13.5" thickBot="1">
      <c r="A25" s="238" t="s">
        <v>63</v>
      </c>
      <c r="B25" s="244"/>
      <c r="C25" s="245"/>
      <c r="D25" s="61">
        <f>SUM(D8:D24)</f>
        <v>5709.879601806768</v>
      </c>
      <c r="E25" s="61">
        <f>SUM(E8:E24)</f>
        <v>6708.082342381566</v>
      </c>
      <c r="F25" s="61">
        <f>SUM(F8:F24)</f>
        <v>7344.1463812945685</v>
      </c>
      <c r="G25" s="61">
        <f>SUM(G8:G24)</f>
        <v>7681.088497248442</v>
      </c>
      <c r="H25" s="94">
        <v>0</v>
      </c>
      <c r="I25" s="61">
        <v>0</v>
      </c>
      <c r="J25" s="4"/>
      <c r="K25" s="15"/>
    </row>
    <row r="26" spans="1:11" ht="13.5" thickBot="1">
      <c r="A26" s="192"/>
      <c r="B26" s="193"/>
      <c r="C26" s="193"/>
      <c r="D26" s="62"/>
      <c r="E26" s="62"/>
      <c r="F26" s="62"/>
      <c r="G26" s="62"/>
      <c r="H26" s="95"/>
      <c r="I26" s="62"/>
      <c r="J26" s="4"/>
      <c r="K26" s="15"/>
    </row>
    <row r="27" spans="1:11" ht="13.5" thickBot="1">
      <c r="A27" s="249" t="s">
        <v>64</v>
      </c>
      <c r="B27" s="250"/>
      <c r="C27" s="251"/>
      <c r="D27" s="61">
        <v>1761.994433366667</v>
      </c>
      <c r="E27" s="61">
        <v>1761.994433366667</v>
      </c>
      <c r="F27" s="61">
        <v>1761.994433366667</v>
      </c>
      <c r="G27" s="61">
        <v>1761.994433366667</v>
      </c>
      <c r="H27" s="94">
        <v>0</v>
      </c>
      <c r="I27" s="61">
        <v>0</v>
      </c>
      <c r="J27" s="25"/>
      <c r="K27" s="15"/>
    </row>
    <row r="28" spans="1:11" ht="13.5" thickBot="1">
      <c r="A28" s="192"/>
      <c r="B28" s="193"/>
      <c r="C28" s="193"/>
      <c r="D28" s="62"/>
      <c r="E28" s="62"/>
      <c r="F28" s="62"/>
      <c r="G28" s="62"/>
      <c r="H28" s="95"/>
      <c r="I28" s="62"/>
      <c r="J28" s="4"/>
      <c r="K28" s="15"/>
    </row>
    <row r="29" spans="1:11" ht="28.5" customHeight="1" thickBot="1">
      <c r="A29" s="238" t="s">
        <v>65</v>
      </c>
      <c r="B29" s="244"/>
      <c r="C29" s="245"/>
      <c r="D29" s="61">
        <f>D25+D27</f>
        <v>7471.874035173435</v>
      </c>
      <c r="E29" s="61">
        <f>E25+E27</f>
        <v>8470.076775748234</v>
      </c>
      <c r="F29" s="61">
        <f>F25+F27</f>
        <v>9106.140814661236</v>
      </c>
      <c r="G29" s="61">
        <f>G25+G27</f>
        <v>9443.082930615108</v>
      </c>
      <c r="H29" s="94">
        <v>0</v>
      </c>
      <c r="I29" s="61">
        <v>0</v>
      </c>
      <c r="J29" s="4"/>
      <c r="K29" s="4"/>
    </row>
    <row r="30" spans="1:11" ht="13.5" thickBot="1">
      <c r="A30" s="187"/>
      <c r="B30" s="188"/>
      <c r="C30" s="188"/>
      <c r="D30" s="64"/>
      <c r="E30" s="64"/>
      <c r="F30" s="64"/>
      <c r="G30" s="64"/>
      <c r="H30" s="70"/>
      <c r="I30" s="64"/>
      <c r="J30" s="4"/>
      <c r="K30" s="4"/>
    </row>
    <row r="31" spans="1:11" ht="27.75" customHeight="1" thickBot="1">
      <c r="A31" s="238" t="s">
        <v>66</v>
      </c>
      <c r="B31" s="239"/>
      <c r="C31" s="240"/>
      <c r="D31" s="61">
        <f>D29/D5</f>
        <v>7471.874035173435</v>
      </c>
      <c r="E31" s="61">
        <f>E29/E5</f>
        <v>5646.717850498822</v>
      </c>
      <c r="F31" s="61">
        <f>F29/F5</f>
        <v>5058.967119256242</v>
      </c>
      <c r="G31" s="61">
        <f>G29/G5</f>
        <v>4721.541465307554</v>
      </c>
      <c r="H31" s="94">
        <v>0</v>
      </c>
      <c r="I31" s="61">
        <v>0</v>
      </c>
      <c r="J31" s="4"/>
      <c r="K31" s="4"/>
    </row>
    <row r="32" spans="1:11" ht="13.5" thickBot="1">
      <c r="A32" s="205"/>
      <c r="B32" s="206"/>
      <c r="C32" s="206"/>
      <c r="D32" s="64"/>
      <c r="E32" s="64"/>
      <c r="F32" s="64"/>
      <c r="G32" s="64"/>
      <c r="H32" s="70"/>
      <c r="I32" s="64"/>
      <c r="J32" s="4"/>
      <c r="K32" s="15"/>
    </row>
    <row r="33" spans="1:11" ht="13.5" thickBot="1">
      <c r="A33" s="203" t="s">
        <v>67</v>
      </c>
      <c r="B33" s="204"/>
      <c r="C33" s="204"/>
      <c r="D33" s="61">
        <f>'Pryse + Sensatiwiteitsanalise'!D6</f>
        <v>62</v>
      </c>
      <c r="E33" s="61">
        <f>$D$33</f>
        <v>62</v>
      </c>
      <c r="F33" s="61">
        <f>$D$33</f>
        <v>62</v>
      </c>
      <c r="G33" s="61">
        <f>$D$33</f>
        <v>62</v>
      </c>
      <c r="H33" s="94">
        <v>0</v>
      </c>
      <c r="I33" s="61">
        <v>0</v>
      </c>
      <c r="J33" s="4"/>
      <c r="K33" s="15"/>
    </row>
    <row r="34" spans="1:11" ht="13.5" thickBot="1">
      <c r="A34" s="205"/>
      <c r="B34" s="206"/>
      <c r="C34" s="206"/>
      <c r="D34" s="64"/>
      <c r="E34" s="64"/>
      <c r="F34" s="64"/>
      <c r="G34" s="64"/>
      <c r="H34" s="70"/>
      <c r="I34" s="64"/>
      <c r="J34" s="4"/>
      <c r="K34" s="15"/>
    </row>
    <row r="35" spans="1:11" ht="13.5" thickBot="1">
      <c r="A35" s="241" t="s">
        <v>68</v>
      </c>
      <c r="B35" s="242"/>
      <c r="C35" s="243"/>
      <c r="D35" s="63">
        <f>D31+D33</f>
        <v>7533.874035173435</v>
      </c>
      <c r="E35" s="63">
        <f>E31+E33</f>
        <v>5708.717850498822</v>
      </c>
      <c r="F35" s="63">
        <f>F31+F33</f>
        <v>5120.967119256242</v>
      </c>
      <c r="G35" s="63">
        <f>G31+G33</f>
        <v>4783.541465307554</v>
      </c>
      <c r="H35" s="96">
        <v>0</v>
      </c>
      <c r="I35" s="63">
        <v>0</v>
      </c>
      <c r="J35" s="4"/>
      <c r="K35" s="15"/>
    </row>
    <row r="36" spans="1:11" ht="13.5" thickBot="1">
      <c r="A36" s="200" t="s">
        <v>69</v>
      </c>
      <c r="B36" s="201"/>
      <c r="C36" s="7"/>
      <c r="D36" s="63">
        <f>'Pryse + Sensatiwiteitsanalise'!B5</f>
        <v>6000</v>
      </c>
      <c r="E36" s="63">
        <f>$D$36</f>
        <v>6000</v>
      </c>
      <c r="F36" s="63">
        <f>$D$36</f>
        <v>6000</v>
      </c>
      <c r="G36" s="63">
        <f>$D$36</f>
        <v>6000</v>
      </c>
      <c r="H36" s="96">
        <v>0</v>
      </c>
      <c r="I36" s="63">
        <v>0</v>
      </c>
      <c r="J36" s="15"/>
      <c r="K36" s="4"/>
    </row>
    <row r="37" spans="4:10" ht="12.75">
      <c r="D37" s="98"/>
      <c r="E37" s="98"/>
      <c r="F37" s="98"/>
      <c r="G37" s="98"/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32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6538</v>
      </c>
      <c r="D44" s="47">
        <v>6638</v>
      </c>
      <c r="E44" s="48">
        <v>6738</v>
      </c>
      <c r="F44" s="47">
        <v>6838</v>
      </c>
      <c r="G44" s="49">
        <v>6938</v>
      </c>
      <c r="H44" s="45"/>
      <c r="I44" s="15"/>
      <c r="J44" s="4"/>
    </row>
    <row r="45" spans="1:10" ht="12.75">
      <c r="A45" s="5"/>
      <c r="B45" s="50">
        <v>1</v>
      </c>
      <c r="C45" s="73">
        <v>-933.874035173435</v>
      </c>
      <c r="D45" s="74">
        <v>-833.874035173435</v>
      </c>
      <c r="E45" s="74">
        <v>-733.874035173435</v>
      </c>
      <c r="F45" s="74">
        <v>-633.874035173435</v>
      </c>
      <c r="G45" s="75">
        <v>-533.874035173435</v>
      </c>
      <c r="H45" s="45"/>
      <c r="I45" s="15"/>
      <c r="J45" s="4"/>
    </row>
    <row r="46" spans="1:10" ht="12.75">
      <c r="A46" s="5"/>
      <c r="B46" s="51"/>
      <c r="C46" s="76"/>
      <c r="D46" s="69"/>
      <c r="E46" s="69"/>
      <c r="F46" s="69"/>
      <c r="G46" s="70"/>
      <c r="H46" s="45"/>
      <c r="I46" s="15"/>
      <c r="J46" s="4"/>
    </row>
    <row r="47" spans="1:10" ht="12.75">
      <c r="A47" s="5"/>
      <c r="B47" s="50">
        <v>1.5</v>
      </c>
      <c r="C47" s="76">
        <v>1336.9232242517664</v>
      </c>
      <c r="D47" s="69">
        <v>1486.9232242517664</v>
      </c>
      <c r="E47" s="69">
        <v>1636.9232242517664</v>
      </c>
      <c r="F47" s="69">
        <v>1786.9232242517664</v>
      </c>
      <c r="G47" s="70">
        <v>1936.9232242517664</v>
      </c>
      <c r="H47" s="45"/>
      <c r="I47" s="15"/>
      <c r="J47" s="4"/>
    </row>
    <row r="48" spans="1:10" ht="13.5" thickBot="1">
      <c r="A48" s="52"/>
      <c r="B48" s="51"/>
      <c r="C48" s="76"/>
      <c r="D48" s="69"/>
      <c r="E48" s="69"/>
      <c r="F48" s="69"/>
      <c r="G48" s="70"/>
      <c r="H48" s="45"/>
      <c r="I48" s="15"/>
      <c r="J48" s="4"/>
    </row>
    <row r="49" spans="1:10" ht="13.5" thickBot="1">
      <c r="A49" s="53" t="s">
        <v>4</v>
      </c>
      <c r="B49" s="54">
        <v>1.8</v>
      </c>
      <c r="C49" s="76">
        <v>2662.259185338764</v>
      </c>
      <c r="D49" s="69">
        <v>2842.259185338764</v>
      </c>
      <c r="E49" s="78">
        <v>3022.259185338764</v>
      </c>
      <c r="F49" s="69">
        <v>3202.259185338764</v>
      </c>
      <c r="G49" s="70">
        <v>3382.259185338764</v>
      </c>
      <c r="H49" s="45"/>
      <c r="I49" s="15"/>
      <c r="J49" s="4"/>
    </row>
    <row r="50" spans="1:10" ht="12.75">
      <c r="A50" s="5"/>
      <c r="B50" s="51"/>
      <c r="C50" s="76"/>
      <c r="D50" s="69"/>
      <c r="E50" s="69"/>
      <c r="F50" s="69"/>
      <c r="G50" s="70"/>
      <c r="H50" s="45"/>
      <c r="I50" s="15"/>
      <c r="J50" s="4"/>
    </row>
    <row r="51" spans="1:10" ht="12.75">
      <c r="A51" s="5"/>
      <c r="B51" s="50">
        <v>2</v>
      </c>
      <c r="C51" s="76">
        <v>3632.917069384892</v>
      </c>
      <c r="D51" s="69">
        <v>3832.917069384892</v>
      </c>
      <c r="E51" s="69">
        <v>4032.917069384892</v>
      </c>
      <c r="F51" s="69">
        <v>4232.917069384892</v>
      </c>
      <c r="G51" s="70">
        <v>4432.917069384892</v>
      </c>
      <c r="H51" s="45"/>
      <c r="I51" s="15"/>
      <c r="J51" s="4"/>
    </row>
    <row r="52" spans="1:10" ht="12.75">
      <c r="A52" s="5"/>
      <c r="B52" s="51"/>
      <c r="C52" s="76"/>
      <c r="D52" s="69"/>
      <c r="E52" s="69"/>
      <c r="F52" s="69"/>
      <c r="G52" s="70"/>
      <c r="H52" s="45"/>
      <c r="I52" s="15"/>
      <c r="J52" s="4"/>
    </row>
    <row r="53" spans="1:10" ht="12.75">
      <c r="A53" s="5"/>
      <c r="B53" s="50">
        <v>0</v>
      </c>
      <c r="C53" s="76">
        <v>0</v>
      </c>
      <c r="D53" s="69">
        <v>0</v>
      </c>
      <c r="E53" s="69">
        <v>0</v>
      </c>
      <c r="F53" s="69">
        <v>0</v>
      </c>
      <c r="G53" s="70">
        <v>0</v>
      </c>
      <c r="H53" s="45"/>
      <c r="I53" s="15"/>
      <c r="J53" s="4"/>
    </row>
    <row r="54" spans="1:10" ht="12.75">
      <c r="A54" s="5"/>
      <c r="B54" s="51"/>
      <c r="C54" s="76"/>
      <c r="D54" s="69"/>
      <c r="E54" s="69"/>
      <c r="F54" s="69"/>
      <c r="G54" s="70"/>
      <c r="H54" s="45"/>
      <c r="I54" s="15"/>
      <c r="J54" s="4"/>
    </row>
    <row r="55" spans="1:9" ht="13.5" thickBot="1">
      <c r="A55" s="5"/>
      <c r="B55" s="55">
        <v>0</v>
      </c>
      <c r="C55" s="80">
        <v>0</v>
      </c>
      <c r="D55" s="81">
        <v>0</v>
      </c>
      <c r="E55" s="81">
        <v>0</v>
      </c>
      <c r="F55" s="81">
        <v>0</v>
      </c>
      <c r="G55" s="82">
        <v>0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208" t="s">
        <v>71</v>
      </c>
      <c r="B57" s="183"/>
      <c r="C57" s="183"/>
      <c r="D57" s="183"/>
      <c r="E57" s="183"/>
      <c r="F57" s="183"/>
      <c r="G57" s="183"/>
      <c r="H57" s="182"/>
      <c r="I57" s="102"/>
      <c r="J57" s="102"/>
    </row>
    <row r="58" spans="1:10" ht="15">
      <c r="A58" s="181" t="s">
        <v>72</v>
      </c>
      <c r="B58" s="180"/>
      <c r="C58" s="180"/>
      <c r="D58" s="180"/>
      <c r="E58" s="180"/>
      <c r="F58" s="180"/>
      <c r="G58" s="180"/>
      <c r="H58" s="179"/>
      <c r="I58" s="102"/>
      <c r="J58" s="102"/>
    </row>
    <row r="59" spans="1:10" ht="15.75" thickBot="1">
      <c r="A59" s="178" t="s">
        <v>73</v>
      </c>
      <c r="B59" s="210"/>
      <c r="C59" s="210"/>
      <c r="D59" s="210"/>
      <c r="E59" s="210"/>
      <c r="F59" s="210"/>
      <c r="G59" s="210"/>
      <c r="H59" s="209"/>
      <c r="I59" s="102"/>
      <c r="J59" s="102"/>
    </row>
  </sheetData>
  <sheetProtection/>
  <mergeCells count="10">
    <mergeCell ref="K7:M7"/>
    <mergeCell ref="A1:D1"/>
    <mergeCell ref="E1:G1"/>
    <mergeCell ref="A31:C31"/>
    <mergeCell ref="A35:C35"/>
    <mergeCell ref="A29:C29"/>
    <mergeCell ref="A3:C3"/>
    <mergeCell ref="A8:C8"/>
    <mergeCell ref="A25:C25"/>
    <mergeCell ref="A27:C2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300" verticalDpi="300" orientation="portrait" paperSize="9" scale="61" r:id="rId2"/>
  <headerFooter>
    <oddHeader>&amp;C&amp;F</oddHead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2.8515625" style="2" customWidth="1"/>
    <col min="2" max="2" width="15.7109375" style="2" bestFit="1" customWidth="1"/>
    <col min="3" max="4" width="14.421875" style="2" customWidth="1"/>
    <col min="5" max="9" width="14.28125" style="2" customWidth="1"/>
    <col min="10" max="10" width="14.421875" style="2" customWidth="1"/>
    <col min="11" max="26" width="12.7109375" style="2" customWidth="1"/>
    <col min="27" max="27" width="9.140625" style="2" customWidth="1"/>
    <col min="28" max="16384" width="9.140625" style="2" customWidth="1"/>
  </cols>
  <sheetData>
    <row r="1" spans="1:11" ht="30" customHeight="1" thickBot="1">
      <c r="A1" s="235" t="s">
        <v>41</v>
      </c>
      <c r="B1" s="236"/>
      <c r="C1" s="236"/>
      <c r="D1" s="236"/>
      <c r="E1" s="237" t="s">
        <v>70</v>
      </c>
      <c r="F1" s="237"/>
      <c r="G1" s="237"/>
      <c r="H1" s="3"/>
      <c r="I1" s="16"/>
      <c r="J1" s="15"/>
      <c r="K1" s="15"/>
    </row>
    <row r="2" spans="1:11" ht="16.5" thickBot="1">
      <c r="A2" s="17"/>
      <c r="B2" s="18"/>
      <c r="C2" s="19"/>
      <c r="D2" s="19"/>
      <c r="E2" s="12"/>
      <c r="F2" s="12"/>
      <c r="G2" s="12"/>
      <c r="H2" s="12"/>
      <c r="I2" s="6"/>
      <c r="J2" s="4"/>
      <c r="K2" s="15"/>
    </row>
    <row r="3" spans="1:11" ht="27.75" customHeight="1" thickBot="1">
      <c r="A3" s="253" t="s">
        <v>42</v>
      </c>
      <c r="B3" s="239"/>
      <c r="C3" s="239"/>
      <c r="D3" s="58"/>
      <c r="E3" s="71">
        <f>'Pryse + Sensatiwiteitsanalise'!B19</f>
        <v>2422</v>
      </c>
      <c r="F3" s="58" t="s">
        <v>3</v>
      </c>
      <c r="G3" s="20"/>
      <c r="H3" s="20"/>
      <c r="I3" s="7"/>
      <c r="K3" s="15"/>
    </row>
    <row r="4" spans="1:11" ht="13.5" thickBot="1">
      <c r="A4" s="184"/>
      <c r="B4" s="197"/>
      <c r="C4" s="197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84" t="s">
        <v>43</v>
      </c>
      <c r="B5" s="197"/>
      <c r="C5" s="197"/>
      <c r="D5" s="89">
        <v>8</v>
      </c>
      <c r="E5" s="89">
        <v>10</v>
      </c>
      <c r="F5" s="89">
        <v>12</v>
      </c>
      <c r="G5" s="89">
        <v>0</v>
      </c>
      <c r="H5" s="89">
        <v>0</v>
      </c>
      <c r="I5" s="89">
        <v>0</v>
      </c>
      <c r="J5" s="4"/>
      <c r="K5" s="15"/>
    </row>
    <row r="6" spans="1:11" ht="13.5" thickBot="1">
      <c r="A6" s="185" t="s">
        <v>44</v>
      </c>
      <c r="B6" s="198"/>
      <c r="C6" s="199"/>
      <c r="D6" s="67">
        <f aca="true" t="shared" si="0" ref="D6:I6">$E$3*D5</f>
        <v>19376</v>
      </c>
      <c r="E6" s="67">
        <f t="shared" si="0"/>
        <v>24220</v>
      </c>
      <c r="F6" s="67">
        <f t="shared" si="0"/>
        <v>29064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4"/>
      <c r="K6" s="15"/>
    </row>
    <row r="7" spans="1:11" ht="13.5" thickBot="1">
      <c r="A7" s="187"/>
      <c r="B7" s="188"/>
      <c r="C7" s="188"/>
      <c r="D7" s="83"/>
      <c r="E7" s="83"/>
      <c r="F7" s="83"/>
      <c r="G7" s="83"/>
      <c r="H7" s="83"/>
      <c r="I7" s="83"/>
      <c r="J7" s="4"/>
      <c r="K7" s="15"/>
    </row>
    <row r="8" spans="1:11" ht="13.5" thickBot="1">
      <c r="A8" s="246" t="s">
        <v>45</v>
      </c>
      <c r="B8" s="247"/>
      <c r="C8" s="248"/>
      <c r="D8" s="84"/>
      <c r="E8" s="84"/>
      <c r="F8" s="84"/>
      <c r="G8" s="84"/>
      <c r="H8" s="84"/>
      <c r="I8" s="84"/>
      <c r="J8" s="4"/>
      <c r="K8" s="15"/>
    </row>
    <row r="9" spans="1:11" ht="12.75">
      <c r="A9" s="189" t="s">
        <v>46</v>
      </c>
      <c r="B9" s="190"/>
      <c r="C9" s="190"/>
      <c r="D9" s="59">
        <v>2400.75</v>
      </c>
      <c r="E9" s="59">
        <v>2619</v>
      </c>
      <c r="F9" s="59">
        <v>2837.25</v>
      </c>
      <c r="G9" s="59">
        <v>0</v>
      </c>
      <c r="H9" s="59">
        <v>0</v>
      </c>
      <c r="I9" s="59">
        <v>0</v>
      </c>
      <c r="J9" s="4"/>
      <c r="K9" s="15"/>
    </row>
    <row r="10" spans="1:11" ht="12.75">
      <c r="A10" s="186" t="s">
        <v>47</v>
      </c>
      <c r="B10" s="191"/>
      <c r="C10" s="191"/>
      <c r="D10" s="60">
        <v>5589.599999999999</v>
      </c>
      <c r="E10" s="60">
        <v>6490</v>
      </c>
      <c r="F10" s="60">
        <v>7390.400000000001</v>
      </c>
      <c r="G10" s="60">
        <v>0</v>
      </c>
      <c r="H10" s="60">
        <v>0</v>
      </c>
      <c r="I10" s="60">
        <v>0</v>
      </c>
      <c r="J10" s="4"/>
      <c r="K10" s="15"/>
    </row>
    <row r="11" spans="1:11" ht="12.75">
      <c r="A11" s="186" t="s">
        <v>48</v>
      </c>
      <c r="B11" s="191"/>
      <c r="C11" s="191"/>
      <c r="D11" s="60">
        <v>560</v>
      </c>
      <c r="E11" s="60">
        <v>560</v>
      </c>
      <c r="F11" s="60">
        <v>560</v>
      </c>
      <c r="G11" s="60">
        <v>0</v>
      </c>
      <c r="H11" s="60">
        <v>0</v>
      </c>
      <c r="I11" s="60">
        <v>0</v>
      </c>
      <c r="J11" s="4"/>
      <c r="K11" s="15"/>
    </row>
    <row r="12" spans="1:11" ht="12.75">
      <c r="A12" s="186" t="s">
        <v>49</v>
      </c>
      <c r="B12" s="191"/>
      <c r="C12" s="191"/>
      <c r="D12" s="60">
        <v>938.963705</v>
      </c>
      <c r="E12" s="60">
        <v>987.489705</v>
      </c>
      <c r="F12" s="60">
        <v>1036.015705</v>
      </c>
      <c r="G12" s="60">
        <v>0</v>
      </c>
      <c r="H12" s="60">
        <v>0</v>
      </c>
      <c r="I12" s="60">
        <v>0</v>
      </c>
      <c r="J12" s="4"/>
      <c r="K12" s="15"/>
    </row>
    <row r="13" spans="1:11" ht="12.75">
      <c r="A13" s="186" t="s">
        <v>50</v>
      </c>
      <c r="B13" s="191"/>
      <c r="C13" s="191"/>
      <c r="D13" s="60">
        <v>656.5281</v>
      </c>
      <c r="E13" s="60">
        <v>669.2881</v>
      </c>
      <c r="F13" s="60">
        <v>682.0481</v>
      </c>
      <c r="G13" s="60">
        <v>0</v>
      </c>
      <c r="H13" s="60">
        <v>0</v>
      </c>
      <c r="I13" s="60">
        <v>0</v>
      </c>
      <c r="J13" s="4"/>
      <c r="K13" s="15"/>
    </row>
    <row r="14" spans="1:11" ht="12.75">
      <c r="A14" s="186" t="s">
        <v>51</v>
      </c>
      <c r="B14" s="191"/>
      <c r="C14" s="191"/>
      <c r="D14" s="60">
        <v>975.7935</v>
      </c>
      <c r="E14" s="60">
        <v>975.7935</v>
      </c>
      <c r="F14" s="60">
        <v>975.7935</v>
      </c>
      <c r="G14" s="60">
        <v>0</v>
      </c>
      <c r="H14" s="60">
        <v>0</v>
      </c>
      <c r="I14" s="60">
        <v>0</v>
      </c>
      <c r="J14" s="4"/>
      <c r="K14" s="15"/>
    </row>
    <row r="15" spans="1:11" ht="12.75">
      <c r="A15" s="186" t="s">
        <v>52</v>
      </c>
      <c r="B15" s="191"/>
      <c r="C15" s="191"/>
      <c r="D15" s="60">
        <v>91.3702944</v>
      </c>
      <c r="E15" s="60">
        <v>91.3702944</v>
      </c>
      <c r="F15" s="60">
        <v>91.3702944</v>
      </c>
      <c r="G15" s="60">
        <v>0</v>
      </c>
      <c r="H15" s="60">
        <v>0</v>
      </c>
      <c r="I15" s="60">
        <v>0</v>
      </c>
      <c r="J15" s="4"/>
      <c r="K15" s="15"/>
    </row>
    <row r="16" spans="1:11" ht="12.75">
      <c r="A16" s="186" t="s">
        <v>53</v>
      </c>
      <c r="B16" s="191"/>
      <c r="C16" s="191"/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4"/>
      <c r="K16" s="15"/>
    </row>
    <row r="17" spans="1:11" ht="12.75">
      <c r="A17" s="186" t="s">
        <v>54</v>
      </c>
      <c r="B17" s="191"/>
      <c r="C17" s="191"/>
      <c r="D17" s="60">
        <v>2828.79568</v>
      </c>
      <c r="E17" s="60">
        <v>2828.79568</v>
      </c>
      <c r="F17" s="60">
        <v>2828.79568</v>
      </c>
      <c r="G17" s="60">
        <v>0</v>
      </c>
      <c r="H17" s="60">
        <v>0</v>
      </c>
      <c r="I17" s="60">
        <v>0</v>
      </c>
      <c r="J17" s="4"/>
      <c r="K17" s="15"/>
    </row>
    <row r="18" spans="1:11" ht="12.75">
      <c r="A18" s="186" t="s">
        <v>55</v>
      </c>
      <c r="B18" s="191"/>
      <c r="C18" s="191"/>
      <c r="D18" s="60">
        <v>1100.6128787215282</v>
      </c>
      <c r="E18" s="60">
        <v>1201.2242674063189</v>
      </c>
      <c r="F18" s="60">
        <v>1301.8356560911097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86" t="s">
        <v>56</v>
      </c>
      <c r="B19" s="191"/>
      <c r="C19" s="191"/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4"/>
      <c r="K19" s="15"/>
    </row>
    <row r="20" spans="1:11" ht="12.75">
      <c r="A20" s="186" t="s">
        <v>57</v>
      </c>
      <c r="B20" s="191"/>
      <c r="C20" s="191"/>
      <c r="D20" s="60">
        <v>757.54</v>
      </c>
      <c r="E20" s="60">
        <v>946.925</v>
      </c>
      <c r="F20" s="60">
        <v>1136.31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86" t="s">
        <v>58</v>
      </c>
      <c r="B21" s="191"/>
      <c r="C21" s="191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s="14" customFormat="1" ht="12.75">
      <c r="A22" s="186" t="s">
        <v>59</v>
      </c>
      <c r="B22" s="191"/>
      <c r="C22" s="191"/>
      <c r="D22" s="60">
        <v>180</v>
      </c>
      <c r="E22" s="60">
        <v>180</v>
      </c>
      <c r="F22" s="60">
        <v>180</v>
      </c>
      <c r="G22" s="60">
        <v>0</v>
      </c>
      <c r="H22" s="60">
        <v>0</v>
      </c>
      <c r="I22" s="60">
        <v>0</v>
      </c>
      <c r="J22" s="4"/>
      <c r="K22" s="13"/>
    </row>
    <row r="23" spans="1:11" s="14" customFormat="1" ht="12.75">
      <c r="A23" s="186" t="s">
        <v>60</v>
      </c>
      <c r="B23" s="191"/>
      <c r="C23" s="191"/>
      <c r="D23" s="60">
        <v>276.84</v>
      </c>
      <c r="E23" s="60">
        <v>276.84</v>
      </c>
      <c r="F23" s="60">
        <v>276.84</v>
      </c>
      <c r="G23" s="60">
        <v>0</v>
      </c>
      <c r="H23" s="60">
        <v>0</v>
      </c>
      <c r="I23" s="60">
        <v>0</v>
      </c>
      <c r="J23" s="4"/>
      <c r="K23" s="13"/>
    </row>
    <row r="24" spans="1:11" s="14" customFormat="1" ht="12.75">
      <c r="A24" s="186" t="s">
        <v>61</v>
      </c>
      <c r="B24" s="191"/>
      <c r="C24" s="191"/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4"/>
      <c r="K24" s="13"/>
    </row>
    <row r="25" spans="1:11" s="14" customFormat="1" ht="13.5" thickBot="1">
      <c r="A25" s="186" t="s">
        <v>62</v>
      </c>
      <c r="B25" s="191"/>
      <c r="C25" s="191"/>
      <c r="D25" s="60">
        <v>844.1975933013802</v>
      </c>
      <c r="E25" s="60">
        <v>921.3690437073316</v>
      </c>
      <c r="F25" s="60">
        <v>998.5404941132833</v>
      </c>
      <c r="G25" s="60">
        <v>0</v>
      </c>
      <c r="H25" s="60">
        <v>0</v>
      </c>
      <c r="I25" s="60">
        <v>0</v>
      </c>
      <c r="J25" s="4"/>
      <c r="K25" s="13"/>
    </row>
    <row r="26" spans="1:11" s="14" customFormat="1" ht="13.5" thickBot="1">
      <c r="A26" s="238" t="s">
        <v>63</v>
      </c>
      <c r="B26" s="244"/>
      <c r="C26" s="245"/>
      <c r="D26" s="61">
        <f>SUM(D9:D25)</f>
        <v>17200.99175142291</v>
      </c>
      <c r="E26" s="61">
        <f>SUM(E9:E25)</f>
        <v>18748.09559051365</v>
      </c>
      <c r="F26" s="61">
        <f>SUM(F9:F25)</f>
        <v>20295.199429604396</v>
      </c>
      <c r="G26" s="61">
        <v>0</v>
      </c>
      <c r="H26" s="61">
        <v>0</v>
      </c>
      <c r="I26" s="61">
        <v>0</v>
      </c>
      <c r="J26" s="4"/>
      <c r="K26" s="13"/>
    </row>
    <row r="27" spans="1:11" s="14" customFormat="1" ht="13.5" thickBot="1">
      <c r="A27" s="192"/>
      <c r="B27" s="193"/>
      <c r="C27" s="193"/>
      <c r="D27" s="62"/>
      <c r="E27" s="62"/>
      <c r="F27" s="62"/>
      <c r="G27" s="62"/>
      <c r="H27" s="62"/>
      <c r="I27" s="62"/>
      <c r="J27" s="4"/>
      <c r="K27" s="13"/>
    </row>
    <row r="28" spans="1:11" ht="13.5" thickBot="1">
      <c r="A28" s="249" t="s">
        <v>64</v>
      </c>
      <c r="B28" s="250"/>
      <c r="C28" s="251"/>
      <c r="D28" s="61">
        <v>1951.320808521174</v>
      </c>
      <c r="E28" s="61">
        <v>1951.320808521174</v>
      </c>
      <c r="F28" s="61">
        <v>1951.320808521174</v>
      </c>
      <c r="G28" s="61">
        <v>0</v>
      </c>
      <c r="H28" s="61">
        <v>0</v>
      </c>
      <c r="I28" s="61">
        <v>0</v>
      </c>
      <c r="J28" s="25"/>
      <c r="K28" s="4"/>
    </row>
    <row r="29" spans="1:11" ht="13.5" thickBot="1">
      <c r="A29" s="192"/>
      <c r="B29" s="193"/>
      <c r="C29" s="193"/>
      <c r="D29" s="62"/>
      <c r="E29" s="62"/>
      <c r="F29" s="62"/>
      <c r="G29" s="62"/>
      <c r="H29" s="62"/>
      <c r="I29" s="62"/>
      <c r="J29" s="4"/>
      <c r="K29" s="15"/>
    </row>
    <row r="30" spans="1:11" ht="27" customHeight="1" thickBot="1">
      <c r="A30" s="238" t="s">
        <v>65</v>
      </c>
      <c r="B30" s="244"/>
      <c r="C30" s="245"/>
      <c r="D30" s="61">
        <f>D26+D28</f>
        <v>19152.312559944083</v>
      </c>
      <c r="E30" s="61">
        <f>E26+E28</f>
        <v>20699.416399034824</v>
      </c>
      <c r="F30" s="61">
        <f>F26+F28</f>
        <v>22246.52023812557</v>
      </c>
      <c r="G30" s="61">
        <v>0</v>
      </c>
      <c r="H30" s="61">
        <v>0</v>
      </c>
      <c r="I30" s="61">
        <v>0</v>
      </c>
      <c r="J30" s="4"/>
      <c r="K30" s="15"/>
    </row>
    <row r="31" spans="1:11" ht="13.5" thickBot="1">
      <c r="A31" s="187"/>
      <c r="B31" s="188"/>
      <c r="C31" s="188"/>
      <c r="D31" s="64"/>
      <c r="E31" s="64"/>
      <c r="F31" s="64"/>
      <c r="G31" s="64"/>
      <c r="H31" s="64"/>
      <c r="I31" s="64"/>
      <c r="J31" s="4"/>
      <c r="K31" s="15"/>
    </row>
    <row r="32" spans="1:11" ht="24.75" customHeight="1" thickBot="1">
      <c r="A32" s="238" t="s">
        <v>66</v>
      </c>
      <c r="B32" s="239"/>
      <c r="C32" s="240"/>
      <c r="D32" s="61">
        <f>D30/D5</f>
        <v>2394.0390699930103</v>
      </c>
      <c r="E32" s="61">
        <f>E30/E5</f>
        <v>2069.9416399034826</v>
      </c>
      <c r="F32" s="61">
        <f>F30/F5</f>
        <v>1853.8766865104642</v>
      </c>
      <c r="G32" s="61">
        <v>0</v>
      </c>
      <c r="H32" s="61">
        <v>0</v>
      </c>
      <c r="I32" s="61">
        <v>0</v>
      </c>
      <c r="J32" s="4"/>
      <c r="K32" s="15"/>
    </row>
    <row r="33" spans="1:11" ht="13.5" thickBot="1">
      <c r="A33" s="187"/>
      <c r="B33" s="188"/>
      <c r="C33" s="188"/>
      <c r="D33" s="64"/>
      <c r="E33" s="64"/>
      <c r="F33" s="64"/>
      <c r="G33" s="64"/>
      <c r="H33" s="64"/>
      <c r="I33" s="64"/>
      <c r="J33" s="4"/>
      <c r="K33" s="15"/>
    </row>
    <row r="34" spans="1:11" ht="13.5" thickBot="1">
      <c r="A34" s="185" t="s">
        <v>67</v>
      </c>
      <c r="B34" s="198"/>
      <c r="C34" s="198"/>
      <c r="D34" s="61">
        <f>'Pryse + Sensatiwiteitsanalise'!D4</f>
        <v>278</v>
      </c>
      <c r="E34" s="61">
        <f>$D$34</f>
        <v>278</v>
      </c>
      <c r="F34" s="61">
        <f>$D$34</f>
        <v>278</v>
      </c>
      <c r="G34" s="61">
        <v>0</v>
      </c>
      <c r="H34" s="61">
        <v>0</v>
      </c>
      <c r="I34" s="61">
        <v>0</v>
      </c>
      <c r="J34" s="4"/>
      <c r="K34" s="4"/>
    </row>
    <row r="35" spans="1:11" ht="13.5" thickBot="1">
      <c r="A35" s="187"/>
      <c r="B35" s="188"/>
      <c r="C35" s="188"/>
      <c r="D35" s="64"/>
      <c r="E35" s="64"/>
      <c r="F35" s="64"/>
      <c r="G35" s="64"/>
      <c r="H35" s="64"/>
      <c r="I35" s="64"/>
      <c r="J35" s="4"/>
      <c r="K35" s="4"/>
    </row>
    <row r="36" spans="1:10" ht="13.5" thickBot="1">
      <c r="A36" s="253" t="s">
        <v>68</v>
      </c>
      <c r="B36" s="239"/>
      <c r="C36" s="240"/>
      <c r="D36" s="63">
        <f>D32+D34</f>
        <v>2672.0390699930103</v>
      </c>
      <c r="E36" s="63">
        <f>E32+E34</f>
        <v>2347.9416399034826</v>
      </c>
      <c r="F36" s="63">
        <f>F32+F34</f>
        <v>2131.8766865104644</v>
      </c>
      <c r="G36" s="63">
        <v>0</v>
      </c>
      <c r="H36" s="63">
        <v>0</v>
      </c>
      <c r="I36" s="63">
        <v>0</v>
      </c>
      <c r="J36" s="4"/>
    </row>
    <row r="37" spans="1:10" ht="13.5" thickBot="1">
      <c r="A37" s="194" t="s">
        <v>69</v>
      </c>
      <c r="B37" s="195"/>
      <c r="C37" s="196"/>
      <c r="D37" s="63">
        <f>'Pryse + Sensatiwiteitsanalise'!B4</f>
        <v>2700</v>
      </c>
      <c r="E37" s="63">
        <f>$D$37</f>
        <v>2700</v>
      </c>
      <c r="F37" s="63">
        <f>$D$37</f>
        <v>2700</v>
      </c>
      <c r="G37" s="63">
        <v>0</v>
      </c>
      <c r="H37" s="63">
        <v>0</v>
      </c>
      <c r="I37" s="63">
        <v>0</v>
      </c>
      <c r="J37" s="15"/>
    </row>
    <row r="38" spans="4:10" ht="12.75">
      <c r="D38" s="57"/>
      <c r="E38" s="57"/>
      <c r="F38" s="57"/>
      <c r="G38" s="57"/>
      <c r="H38" s="57"/>
      <c r="I38" s="66"/>
      <c r="J38" s="4"/>
    </row>
    <row r="39" spans="1:10" ht="13.5" thickBot="1">
      <c r="A39" s="4"/>
      <c r="B39" s="26"/>
      <c r="C39" s="4"/>
      <c r="D39" s="4"/>
      <c r="E39" s="4"/>
      <c r="F39" s="4"/>
      <c r="G39" s="4"/>
      <c r="H39" s="4"/>
      <c r="I39" s="15"/>
      <c r="J39" s="4"/>
    </row>
    <row r="40" spans="1:10" ht="12.75">
      <c r="A40" s="1" t="s">
        <v>31</v>
      </c>
      <c r="B40" s="27"/>
      <c r="C40" s="28"/>
      <c r="D40" s="28"/>
      <c r="E40" s="28"/>
      <c r="F40" s="28"/>
      <c r="G40" s="28"/>
      <c r="H40" s="29"/>
      <c r="I40" s="15"/>
      <c r="J40" s="4"/>
    </row>
    <row r="41" spans="1:10" ht="12.75">
      <c r="A41" s="30" t="s">
        <v>1</v>
      </c>
      <c r="B41" s="31"/>
      <c r="C41" s="32"/>
      <c r="D41" s="33"/>
      <c r="E41" s="33"/>
      <c r="F41" s="33"/>
      <c r="G41" s="33"/>
      <c r="H41" s="34"/>
      <c r="I41" s="15"/>
      <c r="J41" s="4"/>
    </row>
    <row r="42" spans="1:10" ht="13.5" thickBot="1">
      <c r="A42" s="35" t="s">
        <v>0</v>
      </c>
      <c r="B42" s="36"/>
      <c r="C42" s="37"/>
      <c r="D42" s="37"/>
      <c r="E42" s="37"/>
      <c r="F42" s="37"/>
      <c r="G42" s="38"/>
      <c r="H42" s="39"/>
      <c r="I42" s="15"/>
      <c r="J42" s="4"/>
    </row>
    <row r="43" spans="1:10" ht="13.5" thickBot="1">
      <c r="A43" s="40"/>
      <c r="B43" s="10"/>
      <c r="C43" s="41" t="s">
        <v>2</v>
      </c>
      <c r="D43" s="42"/>
      <c r="E43" s="42"/>
      <c r="F43" s="42"/>
      <c r="G43" s="43"/>
      <c r="H43" s="44"/>
      <c r="I43" s="15"/>
      <c r="J43" s="4"/>
    </row>
    <row r="44" spans="1:10" ht="13.5" thickBot="1">
      <c r="A44" s="5"/>
      <c r="B44" s="26"/>
      <c r="C44" s="4"/>
      <c r="D44" s="4"/>
      <c r="E44" s="4"/>
      <c r="F44" s="4"/>
      <c r="G44" s="4"/>
      <c r="H44" s="45"/>
      <c r="I44" s="15"/>
      <c r="J44" s="4"/>
    </row>
    <row r="45" spans="1:10" ht="13.5" thickBot="1">
      <c r="A45" s="5"/>
      <c r="B45" s="46"/>
      <c r="C45" s="47">
        <v>2522</v>
      </c>
      <c r="D45" s="47">
        <v>2622</v>
      </c>
      <c r="E45" s="48">
        <v>2722</v>
      </c>
      <c r="F45" s="47">
        <v>2822</v>
      </c>
      <c r="G45" s="49">
        <v>2922</v>
      </c>
      <c r="H45" s="45"/>
      <c r="I45" s="15"/>
      <c r="J45" s="4"/>
    </row>
    <row r="46" spans="1:10" ht="12.75">
      <c r="A46" s="5"/>
      <c r="B46" s="72">
        <v>8</v>
      </c>
      <c r="C46" s="73">
        <v>1023.6874400559172</v>
      </c>
      <c r="D46" s="74">
        <v>276.5836009651757</v>
      </c>
      <c r="E46" s="74">
        <v>-470.52023812556945</v>
      </c>
      <c r="F46" s="74">
        <v>22576</v>
      </c>
      <c r="G46" s="75">
        <v>23376</v>
      </c>
      <c r="H46" s="45"/>
      <c r="I46" s="15"/>
      <c r="J46" s="4"/>
    </row>
    <row r="47" spans="1:10" ht="12.75">
      <c r="A47" s="5"/>
      <c r="B47" s="72"/>
      <c r="C47" s="76"/>
      <c r="D47" s="69"/>
      <c r="E47" s="69"/>
      <c r="F47" s="69"/>
      <c r="G47" s="70"/>
      <c r="H47" s="45"/>
      <c r="I47" s="15"/>
      <c r="J47" s="4"/>
    </row>
    <row r="48" spans="1:10" ht="12.75">
      <c r="A48" s="5"/>
      <c r="B48" s="72">
        <v>10</v>
      </c>
      <c r="C48" s="76">
        <v>6067.687440055917</v>
      </c>
      <c r="D48" s="69">
        <v>5520.583600965176</v>
      </c>
      <c r="E48" s="69">
        <v>4973.479761874431</v>
      </c>
      <c r="F48" s="69">
        <v>28220</v>
      </c>
      <c r="G48" s="70">
        <v>29220</v>
      </c>
      <c r="H48" s="45"/>
      <c r="I48" s="15"/>
      <c r="J48" s="4"/>
    </row>
    <row r="49" spans="1:10" ht="13.5" thickBot="1">
      <c r="A49" s="52"/>
      <c r="B49" s="72"/>
      <c r="C49" s="76"/>
      <c r="D49" s="69"/>
      <c r="E49" s="69"/>
      <c r="F49" s="69"/>
      <c r="G49" s="70"/>
      <c r="H49" s="45"/>
      <c r="I49" s="15"/>
      <c r="J49" s="4"/>
    </row>
    <row r="50" spans="1:10" ht="13.5" thickBot="1">
      <c r="A50" s="53" t="s">
        <v>4</v>
      </c>
      <c r="B50" s="77">
        <v>12</v>
      </c>
      <c r="C50" s="76">
        <v>11111.687440055917</v>
      </c>
      <c r="D50" s="69">
        <v>10764.583600965176</v>
      </c>
      <c r="E50" s="78">
        <v>10417.47976187443</v>
      </c>
      <c r="F50" s="69">
        <v>33864</v>
      </c>
      <c r="G50" s="70">
        <v>35064</v>
      </c>
      <c r="H50" s="45"/>
      <c r="I50" s="15"/>
      <c r="J50" s="4"/>
    </row>
    <row r="51" spans="1:10" ht="12.75">
      <c r="A51" s="5"/>
      <c r="B51" s="72"/>
      <c r="C51" s="76"/>
      <c r="D51" s="69"/>
      <c r="E51" s="69"/>
      <c r="F51" s="69"/>
      <c r="G51" s="70"/>
      <c r="H51" s="45"/>
      <c r="I51" s="15"/>
      <c r="J51" s="4"/>
    </row>
    <row r="52" spans="1:10" ht="12.75">
      <c r="A52" s="5"/>
      <c r="B52" s="72">
        <v>0</v>
      </c>
      <c r="C52" s="76">
        <v>0</v>
      </c>
      <c r="D52" s="69">
        <v>0</v>
      </c>
      <c r="E52" s="69">
        <v>0</v>
      </c>
      <c r="F52" s="69">
        <v>0</v>
      </c>
      <c r="G52" s="70">
        <v>0</v>
      </c>
      <c r="H52" s="45"/>
      <c r="I52" s="15"/>
      <c r="J52" s="4"/>
    </row>
    <row r="53" spans="1:10" ht="12.75">
      <c r="A53" s="5"/>
      <c r="B53" s="72"/>
      <c r="C53" s="76"/>
      <c r="D53" s="69"/>
      <c r="E53" s="69"/>
      <c r="F53" s="69"/>
      <c r="G53" s="70"/>
      <c r="H53" s="45"/>
      <c r="I53" s="15"/>
      <c r="J53" s="4"/>
    </row>
    <row r="54" spans="1:10" ht="12.75">
      <c r="A54" s="5"/>
      <c r="B54" s="72">
        <v>0</v>
      </c>
      <c r="C54" s="76">
        <v>0</v>
      </c>
      <c r="D54" s="69">
        <v>0</v>
      </c>
      <c r="E54" s="69">
        <v>0</v>
      </c>
      <c r="F54" s="69">
        <v>0</v>
      </c>
      <c r="G54" s="70">
        <v>0</v>
      </c>
      <c r="H54" s="45"/>
      <c r="I54" s="15"/>
      <c r="J54" s="4"/>
    </row>
    <row r="55" spans="1:10" ht="12.75">
      <c r="A55" s="5"/>
      <c r="B55" s="72"/>
      <c r="C55" s="76"/>
      <c r="D55" s="69"/>
      <c r="E55" s="69"/>
      <c r="F55" s="69"/>
      <c r="G55" s="70"/>
      <c r="H55" s="45"/>
      <c r="I55" s="15"/>
      <c r="J55" s="4"/>
    </row>
    <row r="56" spans="1:10" ht="13.5" thickBot="1">
      <c r="A56" s="5"/>
      <c r="B56" s="79">
        <v>0</v>
      </c>
      <c r="C56" s="80">
        <v>0</v>
      </c>
      <c r="D56" s="81">
        <v>0</v>
      </c>
      <c r="E56" s="81">
        <v>0</v>
      </c>
      <c r="F56" s="81">
        <v>0</v>
      </c>
      <c r="G56" s="82">
        <v>0</v>
      </c>
      <c r="H56" s="45"/>
      <c r="I56" s="15"/>
      <c r="J56" s="4"/>
    </row>
    <row r="57" spans="1:10" ht="13.5" thickBot="1">
      <c r="A57" s="56"/>
      <c r="B57" s="12"/>
      <c r="C57" s="12"/>
      <c r="D57" s="12"/>
      <c r="E57" s="12"/>
      <c r="F57" s="12"/>
      <c r="G57" s="12"/>
      <c r="H57" s="6"/>
      <c r="J57" s="4"/>
    </row>
    <row r="58" spans="1:10" ht="15">
      <c r="A58" s="208" t="s">
        <v>71</v>
      </c>
      <c r="B58" s="183"/>
      <c r="C58" s="183"/>
      <c r="D58" s="183"/>
      <c r="E58" s="183"/>
      <c r="F58" s="183"/>
      <c r="G58" s="183"/>
      <c r="H58" s="182"/>
      <c r="I58" s="102"/>
      <c r="J58" s="102"/>
    </row>
    <row r="59" spans="1:10" ht="15">
      <c r="A59" s="181" t="s">
        <v>72</v>
      </c>
      <c r="B59" s="180"/>
      <c r="C59" s="180"/>
      <c r="D59" s="180"/>
      <c r="E59" s="180"/>
      <c r="F59" s="180"/>
      <c r="G59" s="180"/>
      <c r="H59" s="179"/>
      <c r="I59" s="102"/>
      <c r="J59" s="102"/>
    </row>
    <row r="60" spans="1:10" ht="15.75" thickBot="1">
      <c r="A60" s="178" t="s">
        <v>73</v>
      </c>
      <c r="B60" s="210"/>
      <c r="C60" s="210"/>
      <c r="D60" s="210"/>
      <c r="E60" s="210"/>
      <c r="F60" s="210"/>
      <c r="G60" s="210"/>
      <c r="H60" s="209"/>
      <c r="I60" s="102"/>
      <c r="J60" s="102"/>
    </row>
    <row r="61" spans="1:8" ht="12.75">
      <c r="A61" s="226" t="s">
        <v>74</v>
      </c>
      <c r="B61" s="227"/>
      <c r="C61" s="227"/>
      <c r="D61" s="227"/>
      <c r="E61" s="227"/>
      <c r="F61" s="227"/>
      <c r="G61" s="227"/>
      <c r="H61" s="228"/>
    </row>
    <row r="62" spans="1:8" ht="12.75">
      <c r="A62" s="229"/>
      <c r="B62" s="230"/>
      <c r="C62" s="230"/>
      <c r="D62" s="230"/>
      <c r="E62" s="230"/>
      <c r="F62" s="230"/>
      <c r="G62" s="230"/>
      <c r="H62" s="231"/>
    </row>
    <row r="63" spans="1:8" ht="12.75">
      <c r="A63" s="229"/>
      <c r="B63" s="230"/>
      <c r="C63" s="230"/>
      <c r="D63" s="230"/>
      <c r="E63" s="230"/>
      <c r="F63" s="230"/>
      <c r="G63" s="230"/>
      <c r="H63" s="231"/>
    </row>
    <row r="64" spans="1:8" ht="13.5" thickBot="1">
      <c r="A64" s="232"/>
      <c r="B64" s="233"/>
      <c r="C64" s="233"/>
      <c r="D64" s="233"/>
      <c r="E64" s="233"/>
      <c r="F64" s="233"/>
      <c r="G64" s="233"/>
      <c r="H64" s="234"/>
    </row>
  </sheetData>
  <sheetProtection/>
  <mergeCells count="10">
    <mergeCell ref="E1:G1"/>
    <mergeCell ref="A61:H64"/>
    <mergeCell ref="A1:D1"/>
    <mergeCell ref="A36:C36"/>
    <mergeCell ref="A3:C3"/>
    <mergeCell ref="A8:C8"/>
    <mergeCell ref="A26:C26"/>
    <mergeCell ref="A28:C28"/>
    <mergeCell ref="A30:C30"/>
    <mergeCell ref="A32:C32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2" r:id="rId2"/>
  <headerFooter alignWithMargins="0">
    <oddHeader>&amp;C&amp;F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Petru Fourie</cp:lastModifiedBy>
  <cp:lastPrinted>2016-07-25T08:46:00Z</cp:lastPrinted>
  <dcterms:created xsi:type="dcterms:W3CDTF">2007-01-09T12:07:13Z</dcterms:created>
  <dcterms:modified xsi:type="dcterms:W3CDTF">2016-08-01T19:00:19Z</dcterms:modified>
  <cp:category/>
  <cp:version/>
  <cp:contentType/>
  <cp:contentStatus/>
</cp:coreProperties>
</file>