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11355" windowHeight="5235" tabRatio="920" activeTab="0"/>
  </bookViews>
  <sheets>
    <sheet name="Pryse + Sensatiwiteitsanalise" sheetId="1" r:id="rId1"/>
    <sheet name="Bes-mielies" sheetId="2" r:id="rId2"/>
    <sheet name="Bes-soja (vermin bewerk)" sheetId="3" r:id="rId3"/>
  </sheets>
  <definedNames>
    <definedName name="Opbrengspeil">'Bes-mielies'!$S$9:$S$14</definedName>
    <definedName name="_xlnm.Print_Area" localSheetId="1">'Bes-mielies'!$A$1:$I$64</definedName>
    <definedName name="_xlnm.Print_Area" localSheetId="2">'Bes-soja (vermin bewerk)'!$A$1:$I$60</definedName>
    <definedName name="Sojaopbrengspeil">'Bes-soja (vermin bewerk)'!$S$9:$S$14</definedName>
  </definedNames>
  <calcPr fullCalcOnLoad="1"/>
</workbook>
</file>

<file path=xl/comments1.xml><?xml version="1.0" encoding="utf-8"?>
<comments xmlns="http://schemas.openxmlformats.org/spreadsheetml/2006/main">
  <authors>
    <author>Petru Fourie</author>
  </authors>
  <commentList>
    <comment ref="D3" authorId="0">
      <text>
        <r>
          <rPr>
            <b/>
            <sz val="9"/>
            <rFont val="Tahoma"/>
            <family val="2"/>
          </rPr>
          <t>Petru Fourie:</t>
        </r>
        <r>
          <rPr>
            <sz val="9"/>
            <rFont val="Tahoma"/>
            <family val="2"/>
          </rPr>
          <t xml:space="preserve">
Include location diff, marketing cost etc</t>
        </r>
      </text>
    </comment>
  </commentList>
</comments>
</file>

<file path=xl/sharedStrings.xml><?xml version="1.0" encoding="utf-8"?>
<sst xmlns="http://schemas.openxmlformats.org/spreadsheetml/2006/main" count="132" uniqueCount="75">
  <si>
    <t>GEWAS SENSITIWITEITSANALISE</t>
  </si>
  <si>
    <t>OPBRENGSPEIE EN PLAASHEK PRODUSENTPRYSE</t>
  </si>
  <si>
    <t xml:space="preserve">WINS / (VERLIES) BO TOTALE KOSTE SONDER DIREKTE BEMAKINGKOSTE EN WINS R/HA BY VERSKILLENDE </t>
  </si>
  <si>
    <t>PLAASHEK PRODUSENTEPRYS R/TON VIR BESTE GRAAD</t>
  </si>
  <si>
    <t>Rand/ton</t>
  </si>
  <si>
    <t>OPBRENGS TON/HA</t>
  </si>
  <si>
    <t>Gewas</t>
  </si>
  <si>
    <t>SAFEX pryse (R/ton)</t>
  </si>
  <si>
    <t>Mielies / Maize - 2016/17</t>
  </si>
  <si>
    <t>MIELIES: SENSATIWITIETSANALISE - TOTALE KOSTES ( DIREKTE KOSTE + VASTE KOSTE)</t>
  </si>
  <si>
    <t>MIELIES: SENSATIWITIETSANALISE - DIREKTE KOSTE</t>
  </si>
  <si>
    <t>Lopendekoste / Variable cost (R/ha)</t>
  </si>
  <si>
    <t>Huidig</t>
  </si>
  <si>
    <t>Oorhoofse koste / Overhead cost (R/ha)</t>
  </si>
  <si>
    <t>SAFEX prys / price(R/ton)</t>
  </si>
  <si>
    <t>Totale Koste / Total cost (R/ha)</t>
  </si>
  <si>
    <t>Produsenteprys/ Producer price</t>
  </si>
  <si>
    <t>Opbrengs / Yield (t/ha)</t>
  </si>
  <si>
    <t>Gemid Opbrengs / Average Yield (t/ha)</t>
  </si>
  <si>
    <t>SAFEX Jul'17 WM 1 prys/price  (R/ton)</t>
  </si>
  <si>
    <t xml:space="preserve">Aftrekkings / Deductions </t>
  </si>
  <si>
    <t>Produsenteprys/ Producer price (R/ton)</t>
  </si>
  <si>
    <t>Sojabone Soyabean - 2016/17</t>
  </si>
  <si>
    <t>SOJABONE: SENSATIWITIETSANALISE - TOTALE KOSTES ( DIREKTE KOSTE + VASTE KOSTE)</t>
  </si>
  <si>
    <t>SOJABONE: SENSATIWITIETSANALISE - DIREKTE KOSTE</t>
  </si>
  <si>
    <t>Huidige</t>
  </si>
  <si>
    <t>SAFEX Mei'17Soy prys/price  (R/ton)</t>
  </si>
  <si>
    <r>
      <t>Disclaimer:</t>
    </r>
    <r>
      <rPr>
        <sz val="11"/>
        <rFont val="Calibri"/>
        <family val="2"/>
      </rPr>
      <t xml:space="preserve"> The information herein has been obtained from various sources, the accuracy and/or completeness of which Grain SA does not</t>
    </r>
  </si>
  <si>
    <t>guarantee and for which Grain SA accepts no liability. Any prices or levels contained herein are preliminary and indicative only and do not</t>
  </si>
  <si>
    <t>represent bids or offers. These indications are provided solely for your information and consideration.</t>
  </si>
  <si>
    <t xml:space="preserve">                                        Thank you to the Maize Trust for partially funding this project</t>
  </si>
  <si>
    <r>
      <t>Disclaimer:</t>
    </r>
    <r>
      <rPr>
        <sz val="10"/>
        <rFont val="Calibri"/>
        <family val="2"/>
      </rPr>
      <t xml:space="preserve"> The information herein has been obtained from various sources, the accuracy and/or completeness of which Grain SA does not</t>
    </r>
  </si>
  <si>
    <t>Produsent prys raming vir BESPROEIING MIELIES vir die  /                                             Producer price framework for IRRIGATION MAIZE for the</t>
  </si>
  <si>
    <t>Produsent prys raming vir BESPROEIING SOJABONE (vermin bewerking) vir             Producer price framework for IRRIGATION SOYBEANS (minimum tillage) for</t>
  </si>
  <si>
    <t>PRODUKSIEJAAR   2016-17   PRODUCTION YEAR 2016-17</t>
  </si>
  <si>
    <t>Huidige Produkprys op plaas vir beste graad / Current product price for the best grade (R/TON) (Safex min bemarkingskoste/marketing cost)</t>
  </si>
  <si>
    <t>Beplanningsopbrengs / Estimated yields (ton/ha)</t>
  </si>
  <si>
    <t>Bruto produksiewaarde / Gross production value (R/ha)</t>
  </si>
  <si>
    <t>Direk Toedeelbare veranderlike koste / Direct Allocated Variable costs (R/ha)</t>
  </si>
  <si>
    <t>Saad / Seed</t>
  </si>
  <si>
    <t>Kunsmis / Fertiliser</t>
  </si>
  <si>
    <t>Kalk / Lime</t>
  </si>
  <si>
    <t>Brandstof / Fuel</t>
  </si>
  <si>
    <t>Reparasie / Reparation</t>
  </si>
  <si>
    <t>Onkruiddoders / Herbicide</t>
  </si>
  <si>
    <t>Plaagdoder / Pest control</t>
  </si>
  <si>
    <t>Insetversekering / Input insurance</t>
  </si>
  <si>
    <t>Besproeiingskoste / Irrigation cost</t>
  </si>
  <si>
    <t>Graanprysverskansing / Grain hedging</t>
  </si>
  <si>
    <t>Kontrakstroop / Contract Harvesting</t>
  </si>
  <si>
    <t>Oesversekering / Harvest insurance</t>
  </si>
  <si>
    <t>Lugspuit / Aerial spray</t>
  </si>
  <si>
    <t>Losarbeid / Casual labour</t>
  </si>
  <si>
    <t>Droogkoste / Drying cost</t>
  </si>
  <si>
    <t>Verpakking en Pakmateriaal / Packaging and packaging material</t>
  </si>
  <si>
    <t>Produksiekrediet rente / Interest on production R/ha</t>
  </si>
  <si>
    <t>Totale Direk Toedeelbare veranderlike koste / Total Direct Allocated Variable Cost  (R/ha)</t>
  </si>
  <si>
    <t>Totale Oorhoofse koste / Total overhead cost R/ha</t>
  </si>
  <si>
    <t>Totale Koste per ha voor fisiese bemarking R/ha / Total cost per ha before marketing cost R/ha</t>
  </si>
  <si>
    <t>Totale koste per ton voor fisiese bemarking R/Ton / Total cost per ton before marketing cost R/Ton</t>
  </si>
  <si>
    <t>Totale bemarkingskoste / Total marketing cost R/ton</t>
  </si>
  <si>
    <t>Verwagte minimum Safex prys SONDER wins/ Expected minimum Safex price, WITHOUT profit</t>
  </si>
  <si>
    <t>Huidige Safex prys / Current Safex price</t>
  </si>
  <si>
    <t>Noord Kaap / Northern Cape</t>
  </si>
  <si>
    <t>Total deductions (R/ton)</t>
  </si>
  <si>
    <t>Datum opgedateer / Date updated</t>
  </si>
  <si>
    <t>BT MIELIES /  MAIZE</t>
  </si>
  <si>
    <t>SOJABONE VERMIN BEWERKING / SOYBEANS MIN TILLAgE</t>
  </si>
  <si>
    <t>Mielies / Maize- Jul 17</t>
  </si>
  <si>
    <t>Sojabone / Soybeans- Mei 17</t>
  </si>
  <si>
    <t>Mielies</t>
  </si>
  <si>
    <t>Opbrengspeil</t>
  </si>
  <si>
    <t>Lopende koste</t>
  </si>
  <si>
    <t>Oorhoofse koste</t>
  </si>
  <si>
    <t>Soja</t>
  </si>
</sst>
</file>

<file path=xl/styles.xml><?xml version="1.0" encoding="utf-8"?>
<styleSheet xmlns="http://schemas.openxmlformats.org/spreadsheetml/2006/main">
  <numFmts count="6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  <numFmt numFmtId="174" formatCode="0.000"/>
    <numFmt numFmtId="175" formatCode="mm/dd/yy"/>
    <numFmt numFmtId="176" formatCode="_(* #,##0.000000000000000_);_(* \(#,##0.000000000000000\);_(* &quot;-&quot;???????????????_);_(@_)"/>
    <numFmt numFmtId="177" formatCode="0.0000000000"/>
    <numFmt numFmtId="178" formatCode="[$-409]hh:mm:ss\ AM/PM"/>
    <numFmt numFmtId="179" formatCode="0.0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[$-1C09]dd\ mmmm\ yyyy"/>
    <numFmt numFmtId="187" formatCode="[$-436]dd\ mmmm\ yyyy;@"/>
    <numFmt numFmtId="188" formatCode="_ * #,##0.0_ ;_ * \-#,##0.0_ ;_ * &quot;-&quot;_ ;_ @_ "/>
    <numFmt numFmtId="189" formatCode="_ * #,##0.00_ ;_ * \-#,##0.00_ ;_ * &quot;-&quot;_ ;_ @_ "/>
    <numFmt numFmtId="190" formatCode="_ * #,##0.000_ ;_ * \-#,##0.000_ ;_ * &quot;-&quot;_ ;_ @_ "/>
    <numFmt numFmtId="191" formatCode="_ * #,##0.0000_ ;_ * \-#,##0.0000_ ;_ * &quot;-&quot;_ ;_ @_ "/>
    <numFmt numFmtId="192" formatCode="_ * #,##0.00000_ ;_ * \-#,##0.00000_ ;_ * &quot;-&quot;_ ;_ @_ "/>
    <numFmt numFmtId="193" formatCode="0.0%"/>
    <numFmt numFmtId="194" formatCode="_(* #,##0.000_);_(* \(#,##0.000\);_(* &quot;-&quot;???_);_(@_)"/>
    <numFmt numFmtId="195" formatCode="_(* #,##0.0000_);_(* \(#,##0.0000\);_(* &quot;-&quot;???_);_(@_)"/>
    <numFmt numFmtId="196" formatCode="_(* #,##0.00_);_(* \(#,##0.00\);_(* &quot;-&quot;???_);_(@_)"/>
    <numFmt numFmtId="197" formatCode="0.0_)"/>
    <numFmt numFmtId="198" formatCode="_ * #,##0.0_ ;_ * \-#,##0.0_ ;_ * &quot;-&quot;?_ ;_ @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 * #,##0.000_ ;_ * \-#,##0.000_ ;_ * &quot;-&quot;??_ ;_ @_ "/>
    <numFmt numFmtId="204" formatCode="_ * #,##0.000_ ;_ * \-#,##0.000_ ;_ * &quot;-&quot;???_ ;_ @_ "/>
    <numFmt numFmtId="205" formatCode="_ * #,##0.00000_ ;_ * \-#,##0.00000_ ;_ * &quot;-&quot;??_ ;_ @_ "/>
    <numFmt numFmtId="206" formatCode="_ * #,##0.00000_ ;_ * \-#,##0.00000_ ;_ * &quot;-&quot;?????_ ;_ @_ "/>
    <numFmt numFmtId="207" formatCode="_ * #,##0.0_ ;_ * \-#,##0.0_ ;_ * &quot;-&quot;??_ ;_ @_ "/>
    <numFmt numFmtId="208" formatCode="_ * #,##0_ ;_ * \-#,##0_ ;_ * &quot;-&quot;??_ ;_ @_ "/>
    <numFmt numFmtId="209" formatCode="_ * #,##0.0000_ ;_ * \-#,##0.0000_ ;_ * &quot;-&quot;??_ ;_ @_ "/>
    <numFmt numFmtId="210" formatCode="_(* #,##0_);_(* \(#,##0\);_(* &quot;-&quot;??_);_(@_)"/>
    <numFmt numFmtId="211" formatCode="0.0000_)"/>
    <numFmt numFmtId="212" formatCode="_(* #,##0.0000_);_(* \(#,##0.0000\);_(* &quot;-&quot;??_);_(@_)"/>
    <numFmt numFmtId="213" formatCode="_(* #,##0.0_);_(* \(#,##0.0\);_(* &quot;-&quot;??_);_(@_)"/>
    <numFmt numFmtId="214" formatCode="_ * #,##0.000000_ ;_ * \-#,##0.000000_ ;_ * &quot;-&quot;??_ ;_ @_ "/>
    <numFmt numFmtId="215" formatCode="_ * #,##0.0000000_ ;_ * \-#,##0.0000000_ ;_ * &quot;-&quot;??_ ;_ @_ "/>
    <numFmt numFmtId="216" formatCode="_ * #,##0.00000000_ ;_ * \-#,##0.00000000_ ;_ * &quot;-&quot;??_ ;_ @_ "/>
    <numFmt numFmtId="217" formatCode="0.000_)"/>
    <numFmt numFmtId="218" formatCode="_ * #,##0.00_ ;_ * \-#,##0.00_ ;_ * &quot;-&quot;?_ ;_ @_ "/>
    <numFmt numFmtId="219" formatCode="#,##0.0_ ;\-#,##0.0\ "/>
    <numFmt numFmtId="220" formatCode="#,##0.0"/>
    <numFmt numFmtId="221" formatCode="&quot;R&quot;\ #,##0"/>
    <numFmt numFmtId="222" formatCode="&quot;R&quot;\ #,##0.00"/>
  </numFmts>
  <fonts count="6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8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96FD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1" fillId="34" borderId="11" xfId="0" applyFont="1" applyFill="1" applyBorder="1" applyAlignment="1" applyProtection="1">
      <alignment horizontal="left"/>
      <protection hidden="1"/>
    </xf>
    <xf numFmtId="0" fontId="0" fillId="34" borderId="14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Continuous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173" fontId="1" fillId="35" borderId="15" xfId="0" applyNumberFormat="1" applyFont="1" applyFill="1" applyBorder="1" applyAlignment="1" applyProtection="1">
      <alignment horizontal="right"/>
      <protection hidden="1"/>
    </xf>
    <xf numFmtId="0" fontId="0" fillId="35" borderId="11" xfId="0" applyFont="1" applyFill="1" applyBorder="1" applyAlignment="1" applyProtection="1">
      <alignment horizontal="centerContinuous"/>
      <protection hidden="1"/>
    </xf>
    <xf numFmtId="0" fontId="0" fillId="0" borderId="11" xfId="0" applyFont="1" applyFill="1" applyBorder="1" applyAlignment="1" applyProtection="1">
      <alignment horizontal="centerContinuous"/>
      <protection hidden="1"/>
    </xf>
    <xf numFmtId="0" fontId="0" fillId="0" borderId="16" xfId="0" applyFont="1" applyFill="1" applyBorder="1" applyAlignment="1" applyProtection="1">
      <alignment/>
      <protection hidden="1"/>
    </xf>
    <xf numFmtId="171" fontId="0" fillId="0" borderId="0" xfId="0" applyNumberFormat="1" applyFont="1" applyBorder="1" applyAlignment="1" applyProtection="1">
      <alignment/>
      <protection hidden="1"/>
    </xf>
    <xf numFmtId="17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4" fillId="0" borderId="17" xfId="0" applyFont="1" applyFill="1" applyBorder="1" applyAlignment="1" applyProtection="1">
      <alignment horizontal="left"/>
      <protection hidden="1"/>
    </xf>
    <xf numFmtId="0" fontId="4" fillId="0" borderId="16" xfId="0" applyFont="1" applyFill="1" applyBorder="1" applyAlignment="1" applyProtection="1">
      <alignment horizontal="left"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1" fillId="36" borderId="15" xfId="0" applyFont="1" applyFill="1" applyBorder="1" applyAlignment="1" applyProtection="1">
      <alignment/>
      <protection hidden="1"/>
    </xf>
    <xf numFmtId="173" fontId="1" fillId="36" borderId="15" xfId="0" applyNumberFormat="1" applyFont="1" applyFill="1" applyBorder="1" applyAlignment="1" applyProtection="1">
      <alignment horizontal="right"/>
      <protection hidden="1"/>
    </xf>
    <xf numFmtId="0" fontId="0" fillId="34" borderId="15" xfId="0" applyFont="1" applyFill="1" applyBorder="1" applyAlignment="1" applyProtection="1">
      <alignment/>
      <protection hidden="1"/>
    </xf>
    <xf numFmtId="171" fontId="1" fillId="0" borderId="0" xfId="0" applyNumberFormat="1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33" borderId="18" xfId="0" applyFont="1" applyFill="1" applyBorder="1" applyAlignment="1" applyProtection="1">
      <alignment horizontal="centerContinuous"/>
      <protection hidden="1"/>
    </xf>
    <xf numFmtId="0" fontId="0" fillId="33" borderId="18" xfId="0" applyFont="1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Continuous"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0" fillId="35" borderId="21" xfId="0" applyFont="1" applyFill="1" applyBorder="1" applyAlignment="1" applyProtection="1">
      <alignment/>
      <protection hidden="1"/>
    </xf>
    <xf numFmtId="0" fontId="1" fillId="35" borderId="21" xfId="0" applyFont="1" applyFill="1" applyBorder="1" applyAlignment="1" applyProtection="1">
      <alignment horizontal="center" vertical="center"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0" fillId="35" borderId="14" xfId="0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1" fillId="35" borderId="22" xfId="0" applyFont="1" applyFill="1" applyBorder="1" applyAlignment="1" applyProtection="1">
      <alignment horizontal="centerContinuous"/>
      <protection hidden="1"/>
    </xf>
    <xf numFmtId="173" fontId="2" fillId="35" borderId="18" xfId="0" applyNumberFormat="1" applyFont="1" applyFill="1" applyBorder="1" applyAlignment="1" applyProtection="1">
      <alignment horizontal="center"/>
      <protection hidden="1"/>
    </xf>
    <xf numFmtId="173" fontId="2" fillId="37" borderId="18" xfId="0" applyNumberFormat="1" applyFont="1" applyFill="1" applyBorder="1" applyAlignment="1" applyProtection="1">
      <alignment horizontal="center"/>
      <protection hidden="1"/>
    </xf>
    <xf numFmtId="173" fontId="2" fillId="35" borderId="19" xfId="0" applyNumberFormat="1" applyFont="1" applyFill="1" applyBorder="1" applyAlignment="1" applyProtection="1">
      <alignment horizontal="center"/>
      <protection hidden="1"/>
    </xf>
    <xf numFmtId="172" fontId="2" fillId="35" borderId="23" xfId="0" applyNumberFormat="1" applyFont="1" applyFill="1" applyBorder="1" applyAlignment="1" applyProtection="1">
      <alignment horizontal="centerContinuous"/>
      <protection hidden="1"/>
    </xf>
    <xf numFmtId="2" fontId="1" fillId="0" borderId="10" xfId="0" applyNumberFormat="1" applyFont="1" applyFill="1" applyBorder="1" applyAlignment="1" applyProtection="1">
      <alignment/>
      <protection hidden="1"/>
    </xf>
    <xf numFmtId="2" fontId="1" fillId="0" borderId="18" xfId="0" applyNumberFormat="1" applyFont="1" applyFill="1" applyBorder="1" applyAlignment="1" applyProtection="1">
      <alignment/>
      <protection hidden="1"/>
    </xf>
    <xf numFmtId="2" fontId="1" fillId="0" borderId="19" xfId="0" applyNumberFormat="1" applyFont="1" applyFill="1" applyBorder="1" applyAlignment="1" applyProtection="1">
      <alignment/>
      <protection hidden="1"/>
    </xf>
    <xf numFmtId="0" fontId="2" fillId="35" borderId="23" xfId="0" applyFont="1" applyFill="1" applyBorder="1" applyAlignment="1" applyProtection="1">
      <alignment horizontal="centerContinuous"/>
      <protection hidden="1"/>
    </xf>
    <xf numFmtId="2" fontId="1" fillId="0" borderId="12" xfId="0" applyNumberFormat="1" applyFont="1" applyFill="1" applyBorder="1" applyAlignment="1" applyProtection="1">
      <alignment/>
      <protection hidden="1"/>
    </xf>
    <xf numFmtId="2" fontId="1" fillId="0" borderId="20" xfId="0" applyNumberFormat="1" applyFont="1" applyFill="1" applyBorder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/>
      <protection hidden="1"/>
    </xf>
    <xf numFmtId="0" fontId="1" fillId="35" borderId="15" xfId="0" applyFont="1" applyFill="1" applyBorder="1" applyAlignment="1" applyProtection="1">
      <alignment horizontal="center"/>
      <protection hidden="1"/>
    </xf>
    <xf numFmtId="172" fontId="2" fillId="34" borderId="23" xfId="0" applyNumberFormat="1" applyFont="1" applyFill="1" applyBorder="1" applyAlignment="1" applyProtection="1">
      <alignment horizontal="centerContinuous"/>
      <protection hidden="1"/>
    </xf>
    <xf numFmtId="2" fontId="1" fillId="37" borderId="0" xfId="0" applyNumberFormat="1" applyFont="1" applyFill="1" applyBorder="1" applyAlignment="1" applyProtection="1">
      <alignment/>
      <protection hidden="1"/>
    </xf>
    <xf numFmtId="172" fontId="2" fillId="35" borderId="24" xfId="0" applyNumberFormat="1" applyFont="1" applyFill="1" applyBorder="1" applyAlignment="1" applyProtection="1">
      <alignment horizontal="centerContinuous"/>
      <protection hidden="1"/>
    </xf>
    <xf numFmtId="2" fontId="1" fillId="0" borderId="17" xfId="0" applyNumberFormat="1" applyFont="1" applyFill="1" applyBorder="1" applyAlignment="1" applyProtection="1">
      <alignment/>
      <protection hidden="1"/>
    </xf>
    <xf numFmtId="2" fontId="1" fillId="0" borderId="16" xfId="0" applyNumberFormat="1" applyFont="1" applyFill="1" applyBorder="1" applyAlignment="1" applyProtection="1">
      <alignment/>
      <protection hidden="1"/>
    </xf>
    <xf numFmtId="2" fontId="1" fillId="0" borderId="13" xfId="0" applyNumberFormat="1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43" fontId="1" fillId="0" borderId="25" xfId="0" applyNumberFormat="1" applyFont="1" applyFill="1" applyBorder="1" applyAlignment="1" applyProtection="1">
      <alignment/>
      <protection hidden="1"/>
    </xf>
    <xf numFmtId="43" fontId="1" fillId="0" borderId="26" xfId="0" applyNumberFormat="1" applyFont="1" applyFill="1" applyBorder="1" applyAlignment="1" applyProtection="1">
      <alignment/>
      <protection hidden="1"/>
    </xf>
    <xf numFmtId="43" fontId="1" fillId="35" borderId="15" xfId="0" applyNumberFormat="1" applyFont="1" applyFill="1" applyBorder="1" applyAlignment="1" applyProtection="1">
      <alignment/>
      <protection hidden="1"/>
    </xf>
    <xf numFmtId="43" fontId="1" fillId="36" borderId="23" xfId="0" applyNumberFormat="1" applyFont="1" applyFill="1" applyBorder="1" applyAlignment="1" applyProtection="1">
      <alignment/>
      <protection hidden="1"/>
    </xf>
    <xf numFmtId="43" fontId="1" fillId="34" borderId="15" xfId="0" applyNumberFormat="1" applyFont="1" applyFill="1" applyBorder="1" applyAlignment="1" applyProtection="1">
      <alignment/>
      <protection hidden="1"/>
    </xf>
    <xf numFmtId="43" fontId="1" fillId="0" borderId="23" xfId="0" applyNumberFormat="1" applyFont="1" applyFill="1" applyBorder="1" applyAlignment="1" applyProtection="1">
      <alignment/>
      <protection hidden="1"/>
    </xf>
    <xf numFmtId="208" fontId="57" fillId="0" borderId="0" xfId="0" applyNumberFormat="1" applyFont="1" applyFill="1" applyAlignment="1" applyProtection="1">
      <alignment horizontal="center"/>
      <protection hidden="1"/>
    </xf>
    <xf numFmtId="43" fontId="57" fillId="0" borderId="0" xfId="0" applyNumberFormat="1" applyFont="1" applyFill="1" applyAlignment="1" applyProtection="1">
      <alignment horizontal="center"/>
      <protection hidden="1"/>
    </xf>
    <xf numFmtId="0" fontId="0" fillId="34" borderId="18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wrapText="1"/>
      <protection hidden="1"/>
    </xf>
    <xf numFmtId="0" fontId="1" fillId="34" borderId="18" xfId="0" applyFont="1" applyFill="1" applyBorder="1" applyAlignment="1" applyProtection="1">
      <alignment horizontal="left"/>
      <protection hidden="1"/>
    </xf>
    <xf numFmtId="0" fontId="0" fillId="34" borderId="19" xfId="0" applyFont="1" applyFill="1" applyBorder="1" applyAlignment="1" applyProtection="1">
      <alignment/>
      <protection hidden="1"/>
    </xf>
    <xf numFmtId="1" fontId="1" fillId="36" borderId="24" xfId="0" applyNumberFormat="1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wrapText="1"/>
      <protection hidden="1"/>
    </xf>
    <xf numFmtId="0" fontId="2" fillId="0" borderId="11" xfId="0" applyFont="1" applyFill="1" applyBorder="1" applyAlignment="1" applyProtection="1">
      <alignment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1" fillId="0" borderId="11" xfId="0" applyFont="1" applyFill="1" applyBorder="1" applyAlignment="1" applyProtection="1">
      <alignment horizontal="center" wrapText="1"/>
      <protection hidden="1"/>
    </xf>
    <xf numFmtId="0" fontId="1" fillId="0" borderId="11" xfId="0" applyFont="1" applyFill="1" applyBorder="1" applyAlignment="1" applyProtection="1">
      <alignment horizontal="left" wrapText="1"/>
      <protection hidden="1"/>
    </xf>
    <xf numFmtId="0" fontId="58" fillId="0" borderId="0" xfId="100" applyFont="1">
      <alignment/>
      <protection/>
    </xf>
    <xf numFmtId="0" fontId="0" fillId="0" borderId="0" xfId="100">
      <alignment/>
      <protection/>
    </xf>
    <xf numFmtId="0" fontId="4" fillId="0" borderId="0" xfId="100" applyFont="1">
      <alignment/>
      <protection/>
    </xf>
    <xf numFmtId="0" fontId="0" fillId="0" borderId="0" xfId="74">
      <alignment/>
      <protection/>
    </xf>
    <xf numFmtId="0" fontId="0" fillId="0" borderId="0" xfId="74" applyFont="1" applyBorder="1">
      <alignment/>
      <protection/>
    </xf>
    <xf numFmtId="180" fontId="0" fillId="0" borderId="0" xfId="74" applyNumberFormat="1" applyFont="1" applyBorder="1" applyAlignment="1">
      <alignment horizontal="center"/>
      <protection/>
    </xf>
    <xf numFmtId="0" fontId="55" fillId="16" borderId="27" xfId="74" applyFont="1" applyFill="1" applyBorder="1">
      <alignment/>
      <protection/>
    </xf>
    <xf numFmtId="0" fontId="55" fillId="16" borderId="27" xfId="74" applyFont="1" applyFill="1" applyBorder="1" applyAlignment="1">
      <alignment horizontal="center"/>
      <protection/>
    </xf>
    <xf numFmtId="0" fontId="55" fillId="0" borderId="0" xfId="74" applyFont="1" applyFill="1" applyBorder="1">
      <alignment/>
      <protection/>
    </xf>
    <xf numFmtId="221" fontId="55" fillId="0" borderId="0" xfId="74" applyNumberFormat="1" applyFont="1" applyFill="1" applyBorder="1" applyAlignment="1">
      <alignment horizontal="center"/>
      <protection/>
    </xf>
    <xf numFmtId="0" fontId="0" fillId="0" borderId="0" xfId="100" applyFill="1">
      <alignment/>
      <protection/>
    </xf>
    <xf numFmtId="0" fontId="4" fillId="0" borderId="0" xfId="100" applyFont="1" applyFill="1">
      <alignment/>
      <protection/>
    </xf>
    <xf numFmtId="0" fontId="4" fillId="0" borderId="21" xfId="100" applyFont="1" applyBorder="1">
      <alignment/>
      <protection/>
    </xf>
    <xf numFmtId="14" fontId="1" fillId="0" borderId="15" xfId="100" applyNumberFormat="1" applyFont="1" applyBorder="1">
      <alignment/>
      <protection/>
    </xf>
    <xf numFmtId="14" fontId="1" fillId="0" borderId="0" xfId="100" applyNumberFormat="1" applyFont="1" applyBorder="1">
      <alignment/>
      <protection/>
    </xf>
    <xf numFmtId="0" fontId="0" fillId="5" borderId="28" xfId="100" applyFont="1" applyFill="1" applyBorder="1" applyAlignment="1">
      <alignment horizontal="left" vertical="center"/>
      <protection/>
    </xf>
    <xf numFmtId="43" fontId="0" fillId="0" borderId="0" xfId="100" applyNumberFormat="1" applyBorder="1" applyAlignment="1">
      <alignment horizontal="center"/>
      <protection/>
    </xf>
    <xf numFmtId="0" fontId="0" fillId="0" borderId="21" xfId="100" applyFont="1" applyBorder="1" applyAlignment="1">
      <alignment horizontal="center" vertical="center" wrapText="1"/>
      <protection/>
    </xf>
    <xf numFmtId="0" fontId="0" fillId="0" borderId="11" xfId="100" applyFont="1" applyBorder="1" applyAlignment="1">
      <alignment horizontal="center" vertical="center" wrapText="1"/>
      <protection/>
    </xf>
    <xf numFmtId="0" fontId="57" fillId="36" borderId="15" xfId="100" applyFont="1" applyFill="1" applyBorder="1" applyAlignment="1">
      <alignment horizontal="center" vertical="center"/>
      <protection/>
    </xf>
    <xf numFmtId="0" fontId="59" fillId="36" borderId="15" xfId="100" applyFont="1" applyFill="1" applyBorder="1" applyAlignment="1">
      <alignment horizontal="center" vertical="center"/>
      <protection/>
    </xf>
    <xf numFmtId="0" fontId="57" fillId="36" borderId="11" xfId="100" applyFont="1" applyFill="1" applyBorder="1" applyAlignment="1">
      <alignment horizontal="center" vertical="center"/>
      <protection/>
    </xf>
    <xf numFmtId="0" fontId="0" fillId="5" borderId="29" xfId="100" applyFont="1" applyFill="1" applyBorder="1" applyAlignment="1">
      <alignment horizontal="left" vertical="center"/>
      <protection/>
    </xf>
    <xf numFmtId="0" fontId="1" fillId="36" borderId="15" xfId="100" applyFont="1" applyFill="1" applyBorder="1" applyAlignment="1">
      <alignment horizontal="center" vertical="center"/>
      <protection/>
    </xf>
    <xf numFmtId="221" fontId="57" fillId="36" borderId="15" xfId="100" applyNumberFormat="1" applyFont="1" applyFill="1" applyBorder="1" applyAlignment="1">
      <alignment horizontal="center" vertical="center"/>
      <protection/>
    </xf>
    <xf numFmtId="0" fontId="1" fillId="36" borderId="15" xfId="100" applyNumberFormat="1" applyFont="1" applyFill="1" applyBorder="1" applyAlignment="1">
      <alignment horizontal="center" vertical="center"/>
      <protection/>
    </xf>
    <xf numFmtId="0" fontId="57" fillId="36" borderId="15" xfId="100" applyNumberFormat="1" applyFont="1" applyFill="1" applyBorder="1" applyAlignment="1">
      <alignment horizontal="center" vertical="center"/>
      <protection/>
    </xf>
    <xf numFmtId="0" fontId="1" fillId="5" borderId="29" xfId="100" applyFont="1" applyFill="1" applyBorder="1" applyAlignment="1">
      <alignment horizontal="left" vertical="center"/>
      <protection/>
    </xf>
    <xf numFmtId="43" fontId="1" fillId="5" borderId="26" xfId="100" applyNumberFormat="1" applyFont="1" applyFill="1" applyBorder="1" applyAlignment="1">
      <alignment horizontal="center"/>
      <protection/>
    </xf>
    <xf numFmtId="43" fontId="1" fillId="0" borderId="0" xfId="100" applyNumberFormat="1" applyFont="1" applyBorder="1" applyAlignment="1">
      <alignment horizontal="center"/>
      <protection/>
    </xf>
    <xf numFmtId="0" fontId="1" fillId="0" borderId="22" xfId="100" applyNumberFormat="1" applyFont="1" applyBorder="1" applyAlignment="1">
      <alignment horizontal="center" vertical="center"/>
      <protection/>
    </xf>
    <xf numFmtId="221" fontId="57" fillId="0" borderId="22" xfId="100" applyNumberFormat="1" applyFont="1" applyBorder="1" applyAlignment="1">
      <alignment horizontal="center" vertical="center"/>
      <protection/>
    </xf>
    <xf numFmtId="0" fontId="57" fillId="0" borderId="22" xfId="100" applyNumberFormat="1" applyFont="1" applyBorder="1" applyAlignment="1">
      <alignment horizontal="center" vertical="center"/>
      <protection/>
    </xf>
    <xf numFmtId="0" fontId="0" fillId="0" borderId="29" xfId="100" applyFont="1" applyBorder="1" applyAlignment="1">
      <alignment horizontal="left" vertical="center"/>
      <protection/>
    </xf>
    <xf numFmtId="43" fontId="0" fillId="0" borderId="26" xfId="100" applyNumberFormat="1" applyBorder="1" applyAlignment="1">
      <alignment horizontal="center"/>
      <protection/>
    </xf>
    <xf numFmtId="180" fontId="1" fillId="0" borderId="21" xfId="100" applyNumberFormat="1" applyFont="1" applyBorder="1" applyAlignment="1">
      <alignment horizontal="center" vertical="center"/>
      <protection/>
    </xf>
    <xf numFmtId="1" fontId="1" fillId="38" borderId="30" xfId="100" applyNumberFormat="1" applyFont="1" applyFill="1" applyBorder="1" applyAlignment="1">
      <alignment horizontal="center" vertical="center"/>
      <protection/>
    </xf>
    <xf numFmtId="1" fontId="1" fillId="38" borderId="31" xfId="100" applyNumberFormat="1" applyFont="1" applyFill="1" applyBorder="1" applyAlignment="1">
      <alignment horizontal="center" vertical="center"/>
      <protection/>
    </xf>
    <xf numFmtId="1" fontId="1" fillId="39" borderId="31" xfId="100" applyNumberFormat="1" applyFont="1" applyFill="1" applyBorder="1" applyAlignment="1">
      <alignment horizontal="center" vertical="center"/>
      <protection/>
    </xf>
    <xf numFmtId="1" fontId="1" fillId="39" borderId="32" xfId="100" applyNumberFormat="1" applyFont="1" applyFill="1" applyBorder="1" applyAlignment="1">
      <alignment horizontal="center" vertical="center"/>
      <protection/>
    </xf>
    <xf numFmtId="0" fontId="0" fillId="12" borderId="29" xfId="100" applyFont="1" applyFill="1" applyBorder="1" applyAlignment="1">
      <alignment horizontal="left" vertical="center"/>
      <protection/>
    </xf>
    <xf numFmtId="1" fontId="1" fillId="38" borderId="33" xfId="100" applyNumberFormat="1" applyFont="1" applyFill="1" applyBorder="1" applyAlignment="1">
      <alignment horizontal="center" vertical="center"/>
      <protection/>
    </xf>
    <xf numFmtId="1" fontId="1" fillId="38" borderId="27" xfId="100" applyNumberFormat="1" applyFont="1" applyFill="1" applyBorder="1" applyAlignment="1">
      <alignment horizontal="center" vertical="center"/>
      <protection/>
    </xf>
    <xf numFmtId="1" fontId="1" fillId="39" borderId="27" xfId="100" applyNumberFormat="1" applyFont="1" applyFill="1" applyBorder="1" applyAlignment="1">
      <alignment horizontal="center" vertical="center"/>
      <protection/>
    </xf>
    <xf numFmtId="1" fontId="1" fillId="39" borderId="34" xfId="100" applyNumberFormat="1" applyFont="1" applyFill="1" applyBorder="1" applyAlignment="1">
      <alignment horizontal="center" vertical="center"/>
      <protection/>
    </xf>
    <xf numFmtId="180" fontId="57" fillId="0" borderId="21" xfId="100" applyNumberFormat="1" applyFont="1" applyBorder="1" applyAlignment="1">
      <alignment horizontal="center" vertical="center"/>
      <protection/>
    </xf>
    <xf numFmtId="0" fontId="0" fillId="7" borderId="29" xfId="100" applyFont="1" applyFill="1" applyBorder="1" applyAlignment="1">
      <alignment horizontal="left" vertical="center"/>
      <protection/>
    </xf>
    <xf numFmtId="221" fontId="0" fillId="7" borderId="26" xfId="100" applyNumberFormat="1" applyFill="1" applyBorder="1" applyAlignment="1">
      <alignment horizontal="center"/>
      <protection/>
    </xf>
    <xf numFmtId="0" fontId="0" fillId="7" borderId="29" xfId="100" applyFont="1" applyFill="1" applyBorder="1" applyAlignment="1">
      <alignment horizontal="left" vertical="center" wrapText="1"/>
      <protection/>
    </xf>
    <xf numFmtId="1" fontId="1" fillId="38" borderId="35" xfId="100" applyNumberFormat="1" applyFont="1" applyFill="1" applyBorder="1" applyAlignment="1">
      <alignment horizontal="center" vertical="center"/>
      <protection/>
    </xf>
    <xf numFmtId="1" fontId="1" fillId="38" borderId="36" xfId="100" applyNumberFormat="1" applyFont="1" applyFill="1" applyBorder="1" applyAlignment="1">
      <alignment horizontal="center" vertical="center"/>
      <protection/>
    </xf>
    <xf numFmtId="1" fontId="1" fillId="39" borderId="36" xfId="100" applyNumberFormat="1" applyFont="1" applyFill="1" applyBorder="1" applyAlignment="1">
      <alignment horizontal="center" vertical="center"/>
      <protection/>
    </xf>
    <xf numFmtId="1" fontId="1" fillId="39" borderId="37" xfId="100" applyNumberFormat="1" applyFont="1" applyFill="1" applyBorder="1" applyAlignment="1">
      <alignment horizontal="center" vertical="center"/>
      <protection/>
    </xf>
    <xf numFmtId="0" fontId="1" fillId="7" borderId="38" xfId="100" applyFont="1" applyFill="1" applyBorder="1" applyAlignment="1">
      <alignment horizontal="left" vertical="center" wrapText="1"/>
      <protection/>
    </xf>
    <xf numFmtId="43" fontId="1" fillId="7" borderId="39" xfId="100" applyNumberFormat="1" applyFont="1" applyFill="1" applyBorder="1" applyAlignment="1">
      <alignment horizontal="center"/>
      <protection/>
    </xf>
    <xf numFmtId="0" fontId="8" fillId="0" borderId="0" xfId="100" applyFont="1" applyBorder="1" applyAlignment="1">
      <alignment horizontal="center" vertical="center" textRotation="90" wrapText="1"/>
      <protection/>
    </xf>
    <xf numFmtId="180" fontId="8" fillId="0" borderId="0" xfId="100" applyNumberFormat="1" applyFont="1" applyBorder="1" applyAlignment="1">
      <alignment horizontal="center" vertical="center"/>
      <protection/>
    </xf>
    <xf numFmtId="1" fontId="8" fillId="0" borderId="0" xfId="100" applyNumberFormat="1" applyFont="1" applyFill="1" applyBorder="1" applyAlignment="1">
      <alignment horizontal="center" vertical="center"/>
      <protection/>
    </xf>
    <xf numFmtId="0" fontId="1" fillId="0" borderId="0" xfId="100" applyFont="1" applyFill="1" applyBorder="1" applyAlignment="1">
      <alignment horizontal="left" vertical="center" wrapText="1"/>
      <protection/>
    </xf>
    <xf numFmtId="43" fontId="1" fillId="0" borderId="0" xfId="100" applyNumberFormat="1" applyFont="1" applyFill="1" applyBorder="1" applyAlignment="1">
      <alignment horizontal="center"/>
      <protection/>
    </xf>
    <xf numFmtId="43" fontId="0" fillId="0" borderId="0" xfId="100" applyNumberFormat="1" applyFill="1" applyBorder="1" applyAlignment="1">
      <alignment horizontal="center"/>
      <protection/>
    </xf>
    <xf numFmtId="0" fontId="8" fillId="0" borderId="0" xfId="100" applyFont="1" applyFill="1" applyBorder="1" applyAlignment="1">
      <alignment horizontal="center" vertical="center" textRotation="90" wrapText="1"/>
      <protection/>
    </xf>
    <xf numFmtId="180" fontId="8" fillId="0" borderId="0" xfId="100" applyNumberFormat="1" applyFont="1" applyFill="1" applyBorder="1" applyAlignment="1">
      <alignment horizontal="center" vertical="center"/>
      <protection/>
    </xf>
    <xf numFmtId="43" fontId="0" fillId="0" borderId="0" xfId="100" applyNumberFormat="1" applyBorder="1" applyAlignment="1">
      <alignment horizontal="center" vertical="center"/>
      <protection/>
    </xf>
    <xf numFmtId="0" fontId="1" fillId="0" borderId="0" xfId="100" applyFont="1" applyBorder="1" applyAlignment="1">
      <alignment horizontal="center" vertical="center"/>
      <protection/>
    </xf>
    <xf numFmtId="208" fontId="1" fillId="0" borderId="22" xfId="100" applyNumberFormat="1" applyFont="1" applyBorder="1" applyAlignment="1">
      <alignment horizontal="center" vertical="center"/>
      <protection/>
    </xf>
    <xf numFmtId="0" fontId="0" fillId="0" borderId="0" xfId="100" applyBorder="1" applyAlignment="1">
      <alignment horizontal="center" vertical="center"/>
      <protection/>
    </xf>
    <xf numFmtId="2" fontId="0" fillId="0" borderId="0" xfId="100" applyNumberFormat="1" applyBorder="1" applyAlignment="1">
      <alignment horizontal="center" vertical="center"/>
      <protection/>
    </xf>
    <xf numFmtId="222" fontId="0" fillId="7" borderId="26" xfId="100" applyNumberFormat="1" applyFill="1" applyBorder="1" applyAlignment="1">
      <alignment horizontal="center"/>
      <protection/>
    </xf>
    <xf numFmtId="43" fontId="0" fillId="0" borderId="0" xfId="100" applyNumberFormat="1" applyBorder="1" applyAlignment="1">
      <alignment horizontal="center" vertical="center" wrapText="1"/>
      <protection/>
    </xf>
    <xf numFmtId="0" fontId="15" fillId="36" borderId="17" xfId="74" applyNumberFormat="1" applyFont="1" applyFill="1" applyBorder="1" applyAlignment="1">
      <alignment vertical="center"/>
      <protection/>
    </xf>
    <xf numFmtId="0" fontId="15" fillId="36" borderId="12" xfId="74" applyNumberFormat="1" applyFont="1" applyFill="1" applyBorder="1" applyAlignment="1">
      <alignment vertical="center"/>
      <protection/>
    </xf>
    <xf numFmtId="0" fontId="14" fillId="36" borderId="10" xfId="74" applyNumberFormat="1" applyFont="1" applyFill="1" applyBorder="1" applyAlignment="1">
      <alignment vertical="center"/>
      <protection/>
    </xf>
    <xf numFmtId="0" fontId="12" fillId="36" borderId="10" xfId="74" applyNumberFormat="1" applyFont="1" applyFill="1" applyBorder="1" applyAlignment="1">
      <alignment vertical="center"/>
      <protection/>
    </xf>
    <xf numFmtId="0" fontId="0" fillId="36" borderId="18" xfId="74" applyNumberFormat="1" applyFont="1" applyFill="1" applyBorder="1" applyAlignment="1" applyProtection="1">
      <alignment/>
      <protection hidden="1"/>
    </xf>
    <xf numFmtId="0" fontId="0" fillId="36" borderId="19" xfId="74" applyNumberFormat="1" applyFont="1" applyFill="1" applyBorder="1" applyAlignment="1" applyProtection="1">
      <alignment/>
      <protection hidden="1"/>
    </xf>
    <xf numFmtId="0" fontId="13" fillId="36" borderId="12" xfId="74" applyNumberFormat="1" applyFont="1" applyFill="1" applyBorder="1" applyAlignment="1">
      <alignment vertical="center"/>
      <protection/>
    </xf>
    <xf numFmtId="0" fontId="0" fillId="36" borderId="0" xfId="74" applyNumberFormat="1" applyFont="1" applyFill="1" applyBorder="1" applyAlignment="1" applyProtection="1">
      <alignment/>
      <protection hidden="1"/>
    </xf>
    <xf numFmtId="0" fontId="0" fillId="36" borderId="20" xfId="74" applyNumberFormat="1" applyFont="1" applyFill="1" applyBorder="1" applyAlignment="1" applyProtection="1">
      <alignment/>
      <protection hidden="1"/>
    </xf>
    <xf numFmtId="0" fontId="13" fillId="36" borderId="17" xfId="74" applyNumberFormat="1" applyFont="1" applyFill="1" applyBorder="1" applyAlignment="1">
      <alignment vertical="center"/>
      <protection/>
    </xf>
    <xf numFmtId="0" fontId="0" fillId="36" borderId="16" xfId="74" applyNumberFormat="1" applyFont="1" applyFill="1" applyBorder="1" applyAlignment="1" applyProtection="1">
      <alignment/>
      <protection hidden="1"/>
    </xf>
    <xf numFmtId="0" fontId="0" fillId="36" borderId="13" xfId="74" applyNumberFormat="1" applyFont="1" applyFill="1" applyBorder="1" applyAlignment="1" applyProtection="1">
      <alignment/>
      <protection hidden="1"/>
    </xf>
    <xf numFmtId="0" fontId="1" fillId="34" borderId="21" xfId="74" applyFont="1" applyFill="1" applyBorder="1" applyAlignment="1" applyProtection="1">
      <alignment horizontal="left"/>
      <protection hidden="1"/>
    </xf>
    <xf numFmtId="0" fontId="1" fillId="34" borderId="11" xfId="74" applyFont="1" applyFill="1" applyBorder="1" applyAlignment="1" applyProtection="1">
      <alignment horizontal="left"/>
      <protection hidden="1"/>
    </xf>
    <xf numFmtId="0" fontId="0" fillId="34" borderId="14" xfId="74" applyFont="1" applyFill="1" applyBorder="1" applyAlignment="1" applyProtection="1">
      <alignment/>
      <protection hidden="1"/>
    </xf>
    <xf numFmtId="0" fontId="1" fillId="0" borderId="21" xfId="74" applyFont="1" applyFill="1" applyBorder="1" applyAlignment="1" applyProtection="1">
      <alignment horizontal="left"/>
      <protection hidden="1"/>
    </xf>
    <xf numFmtId="0" fontId="1" fillId="0" borderId="11" xfId="74" applyFont="1" applyFill="1" applyBorder="1" applyAlignment="1" applyProtection="1">
      <alignment horizontal="left"/>
      <protection hidden="1"/>
    </xf>
    <xf numFmtId="0" fontId="1" fillId="35" borderId="21" xfId="74" applyFont="1" applyFill="1" applyBorder="1" applyAlignment="1" applyProtection="1">
      <alignment horizontal="left"/>
      <protection hidden="1"/>
    </xf>
    <xf numFmtId="0" fontId="1" fillId="35" borderId="11" xfId="74" applyFont="1" applyFill="1" applyBorder="1" applyAlignment="1" applyProtection="1">
      <alignment horizontal="left"/>
      <protection hidden="1"/>
    </xf>
    <xf numFmtId="0" fontId="1" fillId="0" borderId="29" xfId="74" applyFont="1" applyFill="1" applyBorder="1" applyAlignment="1" applyProtection="1">
      <alignment horizontal="left"/>
      <protection hidden="1"/>
    </xf>
    <xf numFmtId="0" fontId="1" fillId="0" borderId="12" xfId="74" applyFont="1" applyFill="1" applyBorder="1" applyAlignment="1" applyProtection="1">
      <alignment horizontal="left"/>
      <protection hidden="1"/>
    </xf>
    <xf numFmtId="0" fontId="1" fillId="0" borderId="0" xfId="74" applyFont="1" applyFill="1" applyBorder="1" applyAlignment="1" applyProtection="1">
      <alignment horizontal="left"/>
      <protection hidden="1"/>
    </xf>
    <xf numFmtId="0" fontId="1" fillId="0" borderId="40" xfId="74" applyFont="1" applyFill="1" applyBorder="1" applyAlignment="1" applyProtection="1">
      <alignment horizontal="left"/>
      <protection hidden="1"/>
    </xf>
    <xf numFmtId="172" fontId="1" fillId="35" borderId="14" xfId="74" applyNumberFormat="1" applyFont="1" applyFill="1" applyBorder="1" applyAlignment="1" applyProtection="1">
      <alignment horizontal="left"/>
      <protection hidden="1"/>
    </xf>
    <xf numFmtId="0" fontId="1" fillId="0" borderId="41" xfId="74" applyFont="1" applyFill="1" applyBorder="1" applyAlignment="1" applyProtection="1">
      <alignment horizontal="left"/>
      <protection hidden="1"/>
    </xf>
    <xf numFmtId="0" fontId="1" fillId="0" borderId="42" xfId="74" applyFont="1" applyFill="1" applyBorder="1" applyAlignment="1" applyProtection="1">
      <alignment horizontal="left"/>
      <protection hidden="1"/>
    </xf>
    <xf numFmtId="0" fontId="1" fillId="36" borderId="12" xfId="74" applyFont="1" applyFill="1" applyBorder="1" applyAlignment="1" applyProtection="1">
      <alignment horizontal="left"/>
      <protection hidden="1"/>
    </xf>
    <xf numFmtId="0" fontId="1" fillId="36" borderId="0" xfId="74" applyFont="1" applyFill="1" applyBorder="1" applyAlignment="1" applyProtection="1">
      <alignment horizontal="left"/>
      <protection hidden="1"/>
    </xf>
    <xf numFmtId="43" fontId="2" fillId="34" borderId="18" xfId="0" applyNumberFormat="1" applyFont="1" applyFill="1" applyBorder="1" applyAlignment="1" applyProtection="1">
      <alignment/>
      <protection hidden="1"/>
    </xf>
    <xf numFmtId="15" fontId="0" fillId="0" borderId="0" xfId="74" applyNumberFormat="1">
      <alignment/>
      <protection/>
    </xf>
    <xf numFmtId="0" fontId="55" fillId="16" borderId="27" xfId="74" applyFont="1" applyFill="1" applyBorder="1" applyAlignment="1">
      <alignment horizontal="center"/>
      <protection/>
    </xf>
    <xf numFmtId="221" fontId="0" fillId="7" borderId="26" xfId="100" applyNumberFormat="1" applyFill="1" applyBorder="1" applyAlignment="1">
      <alignment horizontal="center"/>
      <protection/>
    </xf>
    <xf numFmtId="43" fontId="2" fillId="34" borderId="11" xfId="0" applyNumberFormat="1" applyFont="1" applyFill="1" applyBorder="1" applyAlignment="1" applyProtection="1">
      <alignment/>
      <protection hidden="1"/>
    </xf>
    <xf numFmtId="0" fontId="55" fillId="0" borderId="27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6" fillId="0" borderId="0" xfId="83" applyFont="1">
      <alignment/>
      <protection/>
    </xf>
    <xf numFmtId="43" fontId="56" fillId="0" borderId="0" xfId="83" applyNumberFormat="1" applyFont="1">
      <alignment/>
      <protection/>
    </xf>
    <xf numFmtId="43" fontId="0" fillId="5" borderId="25" xfId="101" applyNumberFormat="1" applyFill="1" applyBorder="1" applyAlignment="1">
      <alignment horizontal="center"/>
      <protection/>
    </xf>
    <xf numFmtId="0" fontId="1" fillId="0" borderId="22" xfId="100" applyFont="1" applyBorder="1" applyAlignment="1">
      <alignment horizontal="center" vertical="center" textRotation="90" wrapText="1"/>
      <protection/>
    </xf>
    <xf numFmtId="0" fontId="1" fillId="0" borderId="23" xfId="100" applyFont="1" applyBorder="1" applyAlignment="1">
      <alignment horizontal="center" vertical="center" textRotation="90" wrapText="1"/>
      <protection/>
    </xf>
    <xf numFmtId="0" fontId="1" fillId="0" borderId="24" xfId="100" applyFont="1" applyBorder="1" applyAlignment="1">
      <alignment horizontal="center" vertical="center" textRotation="90" wrapText="1"/>
      <protection/>
    </xf>
    <xf numFmtId="0" fontId="1" fillId="0" borderId="21" xfId="100" applyFont="1" applyBorder="1" applyAlignment="1">
      <alignment vertical="center" wrapText="1"/>
      <protection/>
    </xf>
    <xf numFmtId="0" fontId="1" fillId="0" borderId="14" xfId="100" applyFont="1" applyBorder="1" applyAlignment="1">
      <alignment vertical="center" wrapText="1"/>
      <protection/>
    </xf>
    <xf numFmtId="0" fontId="1" fillId="0" borderId="21" xfId="100" applyFont="1" applyBorder="1" applyAlignment="1">
      <alignment horizontal="center" vertical="center"/>
      <protection/>
    </xf>
    <xf numFmtId="0" fontId="1" fillId="0" borderId="14" xfId="100" applyFont="1" applyBorder="1" applyAlignment="1">
      <alignment horizontal="center" vertical="center"/>
      <protection/>
    </xf>
    <xf numFmtId="0" fontId="1" fillId="40" borderId="16" xfId="74" applyFont="1" applyFill="1" applyBorder="1" applyAlignment="1" applyProtection="1">
      <alignment horizontal="center"/>
      <protection hidden="1"/>
    </xf>
    <xf numFmtId="0" fontId="1" fillId="40" borderId="16" xfId="0" applyFont="1" applyFill="1" applyBorder="1" applyAlignment="1" applyProtection="1">
      <alignment horizontal="center" wrapText="1"/>
      <protection hidden="1"/>
    </xf>
    <xf numFmtId="0" fontId="1" fillId="0" borderId="11" xfId="100" applyFont="1" applyBorder="1" applyAlignment="1">
      <alignment horizontal="center" vertical="center"/>
      <protection/>
    </xf>
    <xf numFmtId="171" fontId="1" fillId="35" borderId="21" xfId="74" applyNumberFormat="1" applyFont="1" applyFill="1" applyBorder="1" applyAlignment="1" applyProtection="1">
      <alignment horizontal="left" wrapText="1"/>
      <protection hidden="1"/>
    </xf>
    <xf numFmtId="171" fontId="1" fillId="35" borderId="11" xfId="74" applyNumberFormat="1" applyFont="1" applyFill="1" applyBorder="1" applyAlignment="1" applyProtection="1">
      <alignment horizontal="left" wrapText="1"/>
      <protection hidden="1"/>
    </xf>
    <xf numFmtId="171" fontId="1" fillId="35" borderId="14" xfId="74" applyNumberFormat="1" applyFont="1" applyFill="1" applyBorder="1" applyAlignment="1" applyProtection="1">
      <alignment horizontal="left" wrapText="1"/>
      <protection hidden="1"/>
    </xf>
    <xf numFmtId="0" fontId="1" fillId="35" borderId="21" xfId="74" applyFont="1" applyFill="1" applyBorder="1" applyAlignment="1" applyProtection="1">
      <alignment horizontal="left" wrapText="1"/>
      <protection hidden="1"/>
    </xf>
    <xf numFmtId="0" fontId="1" fillId="35" borderId="11" xfId="74" applyFont="1" applyFill="1" applyBorder="1" applyAlignment="1" applyProtection="1">
      <alignment horizontal="left" wrapText="1"/>
      <protection hidden="1"/>
    </xf>
    <xf numFmtId="0" fontId="1" fillId="35" borderId="14" xfId="74" applyFont="1" applyFill="1" applyBorder="1" applyAlignment="1" applyProtection="1">
      <alignment horizontal="left" wrapText="1"/>
      <protection hidden="1"/>
    </xf>
    <xf numFmtId="0" fontId="56" fillId="0" borderId="0" xfId="83" applyFont="1" applyAlignment="1">
      <alignment horizontal="center"/>
      <protection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11" fillId="33" borderId="21" xfId="74" applyFont="1" applyFill="1" applyBorder="1" applyAlignment="1" applyProtection="1">
      <alignment horizontal="left" wrapText="1"/>
      <protection hidden="1"/>
    </xf>
    <xf numFmtId="0" fontId="0" fillId="0" borderId="11" xfId="74" applyBorder="1" applyAlignment="1">
      <alignment wrapText="1"/>
      <protection/>
    </xf>
    <xf numFmtId="0" fontId="11" fillId="33" borderId="11" xfId="74" applyFont="1" applyFill="1" applyBorder="1" applyAlignment="1" applyProtection="1">
      <alignment wrapText="1"/>
      <protection hidden="1"/>
    </xf>
    <xf numFmtId="0" fontId="0" fillId="0" borderId="11" xfId="74" applyBorder="1" applyAlignment="1">
      <alignment horizontal="left" wrapText="1"/>
      <protection/>
    </xf>
    <xf numFmtId="0" fontId="0" fillId="0" borderId="14" xfId="74" applyBorder="1" applyAlignment="1">
      <alignment horizontal="left" wrapText="1"/>
      <protection/>
    </xf>
    <xf numFmtId="0" fontId="1" fillId="34" borderId="21" xfId="74" applyFont="1" applyFill="1" applyBorder="1" applyAlignment="1" applyProtection="1">
      <alignment horizontal="left" wrapText="1"/>
      <protection hidden="1"/>
    </xf>
    <xf numFmtId="0" fontId="1" fillId="34" borderId="21" xfId="74" applyFont="1" applyFill="1" applyBorder="1" applyAlignment="1" applyProtection="1">
      <alignment horizontal="left" wrapText="1" readingOrder="1"/>
      <protection hidden="1"/>
    </xf>
    <xf numFmtId="0" fontId="1" fillId="34" borderId="11" xfId="74" applyFont="1" applyFill="1" applyBorder="1" applyAlignment="1" applyProtection="1">
      <alignment horizontal="left" wrapText="1" readingOrder="1"/>
      <protection hidden="1"/>
    </xf>
    <xf numFmtId="0" fontId="1" fillId="34" borderId="14" xfId="74" applyFont="1" applyFill="1" applyBorder="1" applyAlignment="1" applyProtection="1">
      <alignment horizontal="left" wrapText="1" readingOrder="1"/>
      <protection hidden="1"/>
    </xf>
    <xf numFmtId="221" fontId="60" fillId="0" borderId="27" xfId="74" applyNumberFormat="1" applyFont="1" applyFill="1" applyBorder="1" applyAlignment="1" applyProtection="1">
      <alignment horizontal="center"/>
      <protection locked="0"/>
    </xf>
    <xf numFmtId="0" fontId="0" fillId="0" borderId="0" xfId="100" applyProtection="1">
      <alignment/>
      <protection locked="0"/>
    </xf>
    <xf numFmtId="43" fontId="57" fillId="12" borderId="26" xfId="100" applyNumberFormat="1" applyFont="1" applyFill="1" applyBorder="1" applyAlignment="1" applyProtection="1">
      <alignment horizontal="center"/>
      <protection locked="0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3" xfId="48"/>
    <cellStyle name="Comma 3 2" xfId="49"/>
    <cellStyle name="Comma 3 3" xfId="50"/>
    <cellStyle name="Comma 3 4" xfId="51"/>
    <cellStyle name="Comma 4" xfId="52"/>
    <cellStyle name="Comma 5" xfId="53"/>
    <cellStyle name="Comma 6" xfId="54"/>
    <cellStyle name="Comma 6 2" xfId="55"/>
    <cellStyle name="Currency" xfId="56"/>
    <cellStyle name="Currency [0]" xfId="57"/>
    <cellStyle name="Currency 2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Hyperlink 2" xfId="67"/>
    <cellStyle name="Hyperlink 2 2" xfId="68"/>
    <cellStyle name="Hyperlink 3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2 3" xfId="76"/>
    <cellStyle name="Normal 2 2 4" xfId="77"/>
    <cellStyle name="Normal 2 3" xfId="78"/>
    <cellStyle name="Normal 2 4" xfId="79"/>
    <cellStyle name="Normal 2 5" xfId="80"/>
    <cellStyle name="Normal 3" xfId="81"/>
    <cellStyle name="Normal 3 2" xfId="82"/>
    <cellStyle name="Normal 3 2 2" xfId="83"/>
    <cellStyle name="Normal 3 2 3" xfId="84"/>
    <cellStyle name="Normal 3 2 4" xfId="85"/>
    <cellStyle name="Normal 3 2 4 2" xfId="86"/>
    <cellStyle name="Normal 3 2 4 3" xfId="87"/>
    <cellStyle name="Normal 3 2 5" xfId="88"/>
    <cellStyle name="Normal 3 3" xfId="89"/>
    <cellStyle name="Normal 3 4" xfId="90"/>
    <cellStyle name="Normal 3 5" xfId="91"/>
    <cellStyle name="Normal 4" xfId="92"/>
    <cellStyle name="Normal 4 2" xfId="93"/>
    <cellStyle name="Normal 4 2 2" xfId="94"/>
    <cellStyle name="Normal 4 2 3" xfId="95"/>
    <cellStyle name="Normal 4 3" xfId="96"/>
    <cellStyle name="Normal 5" xfId="97"/>
    <cellStyle name="Normal 5 2" xfId="98"/>
    <cellStyle name="Normal 5 3" xfId="99"/>
    <cellStyle name="Normal 6" xfId="100"/>
    <cellStyle name="Normal 6 3" xfId="101"/>
    <cellStyle name="Note" xfId="102"/>
    <cellStyle name="Output" xfId="103"/>
    <cellStyle name="Percent" xfId="104"/>
    <cellStyle name="Percent 2" xfId="105"/>
    <cellStyle name="Percent 2 2" xfId="106"/>
    <cellStyle name="Percent 2 3" xfId="107"/>
    <cellStyle name="Percent 2 3 2" xfId="108"/>
    <cellStyle name="Percent 2 3 3" xfId="109"/>
    <cellStyle name="Percent 2 3 4" xfId="110"/>
    <cellStyle name="Percent 2 4" xfId="111"/>
    <cellStyle name="Percent 2 5" xfId="112"/>
    <cellStyle name="Percent 3" xfId="113"/>
    <cellStyle name="Percent 3 2" xfId="114"/>
    <cellStyle name="Percent 4" xfId="115"/>
    <cellStyle name="Percent 4 2" xfId="116"/>
    <cellStyle name="Percent 5" xfId="117"/>
    <cellStyle name="Percent 5 2" xfId="118"/>
    <cellStyle name="Percent 5 2 2" xfId="119"/>
    <cellStyle name="Percent 5 2 3" xfId="120"/>
    <cellStyle name="Percent 5 2 3 2" xfId="121"/>
    <cellStyle name="Percent 5 3" xfId="122"/>
    <cellStyle name="Percent 5 3 2" xfId="123"/>
    <cellStyle name="Percent 6" xfId="124"/>
    <cellStyle name="Percent 6 2" xfId="125"/>
    <cellStyle name="Percent 7" xfId="126"/>
    <cellStyle name="Percent 7 2" xfId="127"/>
    <cellStyle name="Percent 7 3" xfId="128"/>
    <cellStyle name="Percent 7 4" xfId="129"/>
    <cellStyle name="Percent 7 4 2" xfId="130"/>
    <cellStyle name="Percent 8" xfId="131"/>
    <cellStyle name="Title" xfId="132"/>
    <cellStyle name="Total" xfId="133"/>
    <cellStyle name="Warning Text" xfId="134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47625</xdr:rowOff>
    </xdr:from>
    <xdr:to>
      <xdr:col>8</xdr:col>
      <xdr:colOff>571500</xdr:colOff>
      <xdr:row>1</xdr:row>
      <xdr:rowOff>95250</xdr:rowOff>
    </xdr:to>
    <xdr:pic>
      <xdr:nvPicPr>
        <xdr:cNvPr id="1" name="Picture 2" descr="G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7625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971550</xdr:colOff>
      <xdr:row>64</xdr:row>
      <xdr:rowOff>19050</xdr:rowOff>
    </xdr:to>
    <xdr:pic>
      <xdr:nvPicPr>
        <xdr:cNvPr id="2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91875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123825</xdr:rowOff>
    </xdr:from>
    <xdr:to>
      <xdr:col>8</xdr:col>
      <xdr:colOff>733425</xdr:colOff>
      <xdr:row>2</xdr:row>
      <xdr:rowOff>28575</xdr:rowOff>
    </xdr:to>
    <xdr:pic>
      <xdr:nvPicPr>
        <xdr:cNvPr id="1" name="Picture 2" descr="G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12382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="90" zoomScaleNormal="90" zoomScalePageLayoutView="0" workbookViewId="0" topLeftCell="A1">
      <selection activeCell="B14" sqref="B14"/>
    </sheetView>
  </sheetViews>
  <sheetFormatPr defaultColWidth="9.140625" defaultRowHeight="12.75"/>
  <cols>
    <col min="1" max="1" width="52.421875" style="89" customWidth="1"/>
    <col min="2" max="2" width="19.140625" style="89" bestFit="1" customWidth="1"/>
    <col min="3" max="3" width="3.28125" style="89" customWidth="1"/>
    <col min="4" max="4" width="23.7109375" style="89" customWidth="1"/>
    <col min="5" max="12" width="10.7109375" style="89" customWidth="1"/>
    <col min="13" max="15" width="9.140625" style="89" customWidth="1"/>
    <col min="16" max="16" width="22.7109375" style="89" customWidth="1"/>
    <col min="17" max="17" width="11.7109375" style="89" customWidth="1"/>
    <col min="18" max="26" width="9.421875" style="89" customWidth="1"/>
    <col min="27" max="16384" width="9.140625" style="89" customWidth="1"/>
  </cols>
  <sheetData>
    <row r="1" spans="1:14" s="90" customFormat="1" ht="28.5" customHeight="1">
      <c r="A1" s="88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90" customFormat="1" ht="13.5" customHeight="1">
      <c r="A2" s="91" t="s">
        <v>65</v>
      </c>
      <c r="B2" s="187">
        <v>42580</v>
      </c>
      <c r="C2" s="89"/>
      <c r="D2" s="89"/>
      <c r="E2" s="89"/>
      <c r="F2" s="92"/>
      <c r="G2" s="93"/>
      <c r="H2" s="89"/>
      <c r="I2" s="89"/>
      <c r="J2" s="89"/>
      <c r="K2" s="89"/>
      <c r="L2" s="89"/>
      <c r="M2" s="89"/>
      <c r="N2" s="89"/>
    </row>
    <row r="3" spans="1:12" s="90" customFormat="1" ht="13.5" customHeight="1">
      <c r="A3" s="94" t="s">
        <v>6</v>
      </c>
      <c r="B3" s="95" t="s">
        <v>7</v>
      </c>
      <c r="C3" s="89"/>
      <c r="D3" s="188" t="s">
        <v>64</v>
      </c>
      <c r="E3" s="89"/>
      <c r="F3" s="92"/>
      <c r="G3" s="93"/>
      <c r="H3" s="89"/>
      <c r="I3" s="89"/>
      <c r="J3" s="89"/>
      <c r="K3" s="89"/>
      <c r="L3" s="89"/>
    </row>
    <row r="4" spans="1:12" s="90" customFormat="1" ht="13.5" customHeight="1">
      <c r="A4" s="191" t="s">
        <v>68</v>
      </c>
      <c r="B4" s="231">
        <v>2700</v>
      </c>
      <c r="C4" s="232"/>
      <c r="D4" s="231">
        <v>350</v>
      </c>
      <c r="E4" s="89"/>
      <c r="F4" s="92"/>
      <c r="G4" s="93"/>
      <c r="H4" s="89"/>
      <c r="I4" s="89"/>
      <c r="J4" s="89"/>
      <c r="K4" s="89"/>
      <c r="L4" s="89"/>
    </row>
    <row r="5" spans="1:14" s="90" customFormat="1" ht="13.5" customHeight="1">
      <c r="A5" s="192" t="s">
        <v>69</v>
      </c>
      <c r="B5" s="231">
        <v>6200</v>
      </c>
      <c r="C5" s="232"/>
      <c r="D5" s="231">
        <v>59</v>
      </c>
      <c r="E5" s="89"/>
      <c r="F5" s="92"/>
      <c r="G5" s="93"/>
      <c r="H5" s="89"/>
      <c r="I5" s="89"/>
      <c r="J5" s="89"/>
      <c r="K5" s="89"/>
      <c r="L5" s="89"/>
      <c r="M5" s="89"/>
      <c r="N5" s="89"/>
    </row>
    <row r="6" spans="1:14" s="99" customFormat="1" ht="13.5" customHeight="1">
      <c r="A6" s="96"/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s="90" customFormat="1" ht="13.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s="90" customFormat="1" ht="13.5" customHeight="1" thickBot="1">
      <c r="A8" s="203" t="s">
        <v>66</v>
      </c>
      <c r="B8" s="203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26" ht="20.25" customHeight="1" thickBot="1">
      <c r="A9" s="100" t="s">
        <v>8</v>
      </c>
      <c r="B9" s="101"/>
      <c r="C9" s="102"/>
      <c r="D9" s="201" t="s">
        <v>9</v>
      </c>
      <c r="E9" s="205"/>
      <c r="F9" s="205"/>
      <c r="G9" s="205"/>
      <c r="H9" s="205"/>
      <c r="I9" s="205"/>
      <c r="J9" s="205"/>
      <c r="K9" s="205"/>
      <c r="L9" s="205"/>
      <c r="M9" s="205"/>
      <c r="N9" s="202"/>
      <c r="P9" s="201" t="s">
        <v>10</v>
      </c>
      <c r="Q9" s="205"/>
      <c r="R9" s="205"/>
      <c r="S9" s="205"/>
      <c r="T9" s="205"/>
      <c r="U9" s="205"/>
      <c r="V9" s="205"/>
      <c r="W9" s="205"/>
      <c r="X9" s="205"/>
      <c r="Y9" s="205"/>
      <c r="Z9" s="202"/>
    </row>
    <row r="10" spans="1:26" ht="13.5" customHeight="1" thickBot="1">
      <c r="A10" s="103" t="s">
        <v>11</v>
      </c>
      <c r="B10" s="195">
        <f>INDEX('Bes-mielies'!S9:U14,MATCH($B$14,Opbrengspeil,0),2)</f>
        <v>27032.105377510088</v>
      </c>
      <c r="C10" s="104"/>
      <c r="D10" s="105"/>
      <c r="E10" s="106"/>
      <c r="F10" s="107"/>
      <c r="G10" s="108"/>
      <c r="H10" s="107"/>
      <c r="I10" s="107"/>
      <c r="J10" s="107" t="s">
        <v>12</v>
      </c>
      <c r="K10" s="109"/>
      <c r="L10" s="107"/>
      <c r="M10" s="109"/>
      <c r="N10" s="107"/>
      <c r="P10" s="105"/>
      <c r="Q10" s="106"/>
      <c r="R10" s="107"/>
      <c r="S10" s="108"/>
      <c r="T10" s="107"/>
      <c r="U10" s="107"/>
      <c r="V10" s="107" t="s">
        <v>12</v>
      </c>
      <c r="W10" s="109"/>
      <c r="X10" s="107"/>
      <c r="Y10" s="109"/>
      <c r="Z10" s="107"/>
    </row>
    <row r="11" spans="1:26" ht="13.5" customHeight="1" thickBot="1">
      <c r="A11" s="110" t="s">
        <v>13</v>
      </c>
      <c r="B11" s="195">
        <f>INDEX('Bes-mielies'!S9:U14,MATCH($B$14,Opbrengspeil,0),3)</f>
        <v>6689.79177450023</v>
      </c>
      <c r="C11" s="104"/>
      <c r="D11" s="201" t="s">
        <v>14</v>
      </c>
      <c r="E11" s="202"/>
      <c r="F11" s="111">
        <f>G11-250</f>
        <v>1700</v>
      </c>
      <c r="G11" s="111">
        <f>H11-250</f>
        <v>1950</v>
      </c>
      <c r="H11" s="111">
        <f>I11-250</f>
        <v>2200</v>
      </c>
      <c r="I11" s="111">
        <f>J11-250</f>
        <v>2450</v>
      </c>
      <c r="J11" s="112">
        <f>B16</f>
        <v>2700</v>
      </c>
      <c r="K11" s="111">
        <f>J11+250</f>
        <v>2950</v>
      </c>
      <c r="L11" s="111">
        <f>K11+250</f>
        <v>3200</v>
      </c>
      <c r="M11" s="111">
        <f>L11+250</f>
        <v>3450</v>
      </c>
      <c r="N11" s="111">
        <f>M11+250</f>
        <v>3700</v>
      </c>
      <c r="P11" s="201" t="s">
        <v>14</v>
      </c>
      <c r="Q11" s="202"/>
      <c r="R11" s="113">
        <f>S11-250</f>
        <v>1700</v>
      </c>
      <c r="S11" s="113">
        <f>T11-250</f>
        <v>1950</v>
      </c>
      <c r="T11" s="113">
        <f>U11-250</f>
        <v>2200</v>
      </c>
      <c r="U11" s="113">
        <f>V11-250</f>
        <v>2450</v>
      </c>
      <c r="V11" s="114">
        <f>J11</f>
        <v>2700</v>
      </c>
      <c r="W11" s="113">
        <f>V11+250</f>
        <v>2950</v>
      </c>
      <c r="X11" s="113">
        <f>W11+250</f>
        <v>3200</v>
      </c>
      <c r="Y11" s="113">
        <f>X11+250</f>
        <v>3450</v>
      </c>
      <c r="Z11" s="113">
        <f>Y11+250</f>
        <v>3700</v>
      </c>
    </row>
    <row r="12" spans="1:26" ht="13.5" customHeight="1" thickBot="1">
      <c r="A12" s="115" t="s">
        <v>15</v>
      </c>
      <c r="B12" s="116">
        <f>B11+B10</f>
        <v>33721.897152010315</v>
      </c>
      <c r="C12" s="117"/>
      <c r="D12" s="199" t="s">
        <v>16</v>
      </c>
      <c r="E12" s="200"/>
      <c r="F12" s="118">
        <f aca="true" t="shared" si="0" ref="F12:N12">F11-$B$17</f>
        <v>1350</v>
      </c>
      <c r="G12" s="118">
        <f t="shared" si="0"/>
        <v>1600</v>
      </c>
      <c r="H12" s="118">
        <f t="shared" si="0"/>
        <v>1850</v>
      </c>
      <c r="I12" s="118">
        <f t="shared" si="0"/>
        <v>2100</v>
      </c>
      <c r="J12" s="119">
        <f>J11-$B$17</f>
        <v>2350</v>
      </c>
      <c r="K12" s="118">
        <f t="shared" si="0"/>
        <v>2600</v>
      </c>
      <c r="L12" s="118">
        <f t="shared" si="0"/>
        <v>2850</v>
      </c>
      <c r="M12" s="118">
        <f t="shared" si="0"/>
        <v>3100</v>
      </c>
      <c r="N12" s="118">
        <f t="shared" si="0"/>
        <v>3350</v>
      </c>
      <c r="P12" s="199" t="s">
        <v>16</v>
      </c>
      <c r="Q12" s="200"/>
      <c r="R12" s="118">
        <f aca="true" t="shared" si="1" ref="R12:Z12">R11-$B$17</f>
        <v>1350</v>
      </c>
      <c r="S12" s="118">
        <f t="shared" si="1"/>
        <v>1600</v>
      </c>
      <c r="T12" s="118">
        <f t="shared" si="1"/>
        <v>1850</v>
      </c>
      <c r="U12" s="118">
        <f t="shared" si="1"/>
        <v>2100</v>
      </c>
      <c r="V12" s="120">
        <f t="shared" si="1"/>
        <v>2350</v>
      </c>
      <c r="W12" s="118">
        <f t="shared" si="1"/>
        <v>2600</v>
      </c>
      <c r="X12" s="118">
        <f t="shared" si="1"/>
        <v>2850</v>
      </c>
      <c r="Y12" s="118">
        <f t="shared" si="1"/>
        <v>3100</v>
      </c>
      <c r="Z12" s="118">
        <f t="shared" si="1"/>
        <v>3350</v>
      </c>
    </row>
    <row r="13" spans="1:26" ht="13.5" customHeight="1" thickBot="1">
      <c r="A13" s="121"/>
      <c r="B13" s="122"/>
      <c r="C13" s="104"/>
      <c r="D13" s="196" t="s">
        <v>17</v>
      </c>
      <c r="E13" s="123">
        <f>E14-0.5</f>
        <v>13</v>
      </c>
      <c r="F13" s="124">
        <f aca="true" t="shared" si="2" ref="F13:N17">F$12-($B$12/$E13)</f>
        <v>-1243.992088616178</v>
      </c>
      <c r="G13" s="125">
        <f t="shared" si="2"/>
        <v>-993.9920886161781</v>
      </c>
      <c r="H13" s="125">
        <f t="shared" si="2"/>
        <v>-743.9920886161781</v>
      </c>
      <c r="I13" s="125">
        <f t="shared" si="2"/>
        <v>-493.9920886161781</v>
      </c>
      <c r="J13" s="125">
        <f t="shared" si="2"/>
        <v>-243.99208861617808</v>
      </c>
      <c r="K13" s="125">
        <f t="shared" si="2"/>
        <v>6.00791138382192</v>
      </c>
      <c r="L13" s="125">
        <f t="shared" si="2"/>
        <v>256.0079113838219</v>
      </c>
      <c r="M13" s="126">
        <f t="shared" si="2"/>
        <v>506.0079113838219</v>
      </c>
      <c r="N13" s="127">
        <f t="shared" si="2"/>
        <v>756.0079113838219</v>
      </c>
      <c r="P13" s="196" t="s">
        <v>17</v>
      </c>
      <c r="Q13" s="123">
        <f>Q14-0.5</f>
        <v>13</v>
      </c>
      <c r="R13" s="124">
        <f>R$12-($B$10/$E13)</f>
        <v>-729.3927213469296</v>
      </c>
      <c r="S13" s="124">
        <f aca="true" t="shared" si="3" ref="S13:Z17">S$12-($B$10/$E13)</f>
        <v>-479.39272134692965</v>
      </c>
      <c r="T13" s="124">
        <f t="shared" si="3"/>
        <v>-229.39272134692965</v>
      </c>
      <c r="U13" s="124">
        <f t="shared" si="3"/>
        <v>20.607278653070352</v>
      </c>
      <c r="V13" s="124">
        <f t="shared" si="3"/>
        <v>270.60727865307035</v>
      </c>
      <c r="W13" s="124">
        <f t="shared" si="3"/>
        <v>520.6072786530704</v>
      </c>
      <c r="X13" s="124">
        <f t="shared" si="3"/>
        <v>770.6072786530704</v>
      </c>
      <c r="Y13" s="124">
        <f t="shared" si="3"/>
        <v>1020.6072786530704</v>
      </c>
      <c r="Z13" s="124">
        <f t="shared" si="3"/>
        <v>1270.6072786530704</v>
      </c>
    </row>
    <row r="14" spans="1:26" ht="13.5" customHeight="1" thickBot="1">
      <c r="A14" s="128" t="s">
        <v>18</v>
      </c>
      <c r="B14" s="233">
        <v>14</v>
      </c>
      <c r="C14" s="104"/>
      <c r="D14" s="197"/>
      <c r="E14" s="123">
        <f>E15-0.5</f>
        <v>13.5</v>
      </c>
      <c r="F14" s="129">
        <f t="shared" si="2"/>
        <v>-1147.9183075563196</v>
      </c>
      <c r="G14" s="130">
        <f t="shared" si="2"/>
        <v>-897.9183075563196</v>
      </c>
      <c r="H14" s="130">
        <f t="shared" si="2"/>
        <v>-647.9183075563196</v>
      </c>
      <c r="I14" s="130">
        <f t="shared" si="2"/>
        <v>-397.91830755631963</v>
      </c>
      <c r="J14" s="130">
        <f t="shared" si="2"/>
        <v>-147.91830755631963</v>
      </c>
      <c r="K14" s="131">
        <f t="shared" si="2"/>
        <v>102.08169244368037</v>
      </c>
      <c r="L14" s="131">
        <f t="shared" si="2"/>
        <v>352.08169244368037</v>
      </c>
      <c r="M14" s="131">
        <f t="shared" si="2"/>
        <v>602.0816924436804</v>
      </c>
      <c r="N14" s="132">
        <f t="shared" si="2"/>
        <v>852.0816924436804</v>
      </c>
      <c r="P14" s="197"/>
      <c r="Q14" s="123">
        <f>Q15-0.5</f>
        <v>13.5</v>
      </c>
      <c r="R14" s="124">
        <f>R$12-($B$10/$E14)</f>
        <v>-652.3781761118585</v>
      </c>
      <c r="S14" s="124">
        <f t="shared" si="3"/>
        <v>-402.37817611185847</v>
      </c>
      <c r="T14" s="124">
        <f t="shared" si="3"/>
        <v>-152.37817611185847</v>
      </c>
      <c r="U14" s="124">
        <f t="shared" si="3"/>
        <v>97.62182388814153</v>
      </c>
      <c r="V14" s="124">
        <f t="shared" si="3"/>
        <v>347.62182388814153</v>
      </c>
      <c r="W14" s="124">
        <f t="shared" si="3"/>
        <v>597.6218238881415</v>
      </c>
      <c r="X14" s="124">
        <f t="shared" si="3"/>
        <v>847.6218238881415</v>
      </c>
      <c r="Y14" s="124">
        <f t="shared" si="3"/>
        <v>1097.6218238881415</v>
      </c>
      <c r="Z14" s="124">
        <f t="shared" si="3"/>
        <v>1347.6218238881415</v>
      </c>
    </row>
    <row r="15" spans="1:26" ht="13.5" customHeight="1" thickBot="1">
      <c r="A15" s="121"/>
      <c r="B15" s="122"/>
      <c r="C15" s="104"/>
      <c r="D15" s="197"/>
      <c r="E15" s="133">
        <f>B14</f>
        <v>14</v>
      </c>
      <c r="F15" s="129">
        <f t="shared" si="2"/>
        <v>-1058.706939429308</v>
      </c>
      <c r="G15" s="130">
        <f>G$12-($B$12/$E15)</f>
        <v>-808.706939429308</v>
      </c>
      <c r="H15" s="130">
        <f t="shared" si="2"/>
        <v>-558.706939429308</v>
      </c>
      <c r="I15" s="130">
        <f t="shared" si="2"/>
        <v>-308.706939429308</v>
      </c>
      <c r="J15" s="131">
        <f t="shared" si="2"/>
        <v>-58.70693942930802</v>
      </c>
      <c r="K15" s="131">
        <f t="shared" si="2"/>
        <v>191.29306057069198</v>
      </c>
      <c r="L15" s="131">
        <f t="shared" si="2"/>
        <v>441.293060570692</v>
      </c>
      <c r="M15" s="131">
        <f t="shared" si="2"/>
        <v>691.293060570692</v>
      </c>
      <c r="N15" s="132">
        <f t="shared" si="2"/>
        <v>941.293060570692</v>
      </c>
      <c r="P15" s="197"/>
      <c r="Q15" s="133">
        <f>E15</f>
        <v>14</v>
      </c>
      <c r="R15" s="124">
        <f>R$12-($B$10/$E15)</f>
        <v>-580.8646698221492</v>
      </c>
      <c r="S15" s="124">
        <f t="shared" si="3"/>
        <v>-330.86466982214915</v>
      </c>
      <c r="T15" s="124">
        <f t="shared" si="3"/>
        <v>-80.86466982214915</v>
      </c>
      <c r="U15" s="124">
        <f t="shared" si="3"/>
        <v>169.13533017785085</v>
      </c>
      <c r="V15" s="124">
        <f t="shared" si="3"/>
        <v>419.13533017785085</v>
      </c>
      <c r="W15" s="124">
        <f t="shared" si="3"/>
        <v>669.1353301778508</v>
      </c>
      <c r="X15" s="124">
        <f t="shared" si="3"/>
        <v>919.1353301778508</v>
      </c>
      <c r="Y15" s="124">
        <f t="shared" si="3"/>
        <v>1169.1353301778508</v>
      </c>
      <c r="Z15" s="124">
        <f t="shared" si="3"/>
        <v>1419.1353301778508</v>
      </c>
    </row>
    <row r="16" spans="1:26" ht="13.5" customHeight="1" thickBot="1">
      <c r="A16" s="134" t="s">
        <v>19</v>
      </c>
      <c r="B16" s="135">
        <f>$B$4</f>
        <v>2700</v>
      </c>
      <c r="C16" s="104"/>
      <c r="D16" s="197"/>
      <c r="E16" s="123">
        <f>E15+0.5</f>
        <v>14.5</v>
      </c>
      <c r="F16" s="129">
        <f t="shared" si="2"/>
        <v>-975.6480794489871</v>
      </c>
      <c r="G16" s="130">
        <f t="shared" si="2"/>
        <v>-725.6480794489871</v>
      </c>
      <c r="H16" s="130">
        <f t="shared" si="2"/>
        <v>-475.6480794489871</v>
      </c>
      <c r="I16" s="131">
        <f t="shared" si="2"/>
        <v>-225.64807944898712</v>
      </c>
      <c r="J16" s="131">
        <f t="shared" si="2"/>
        <v>24.35192055101288</v>
      </c>
      <c r="K16" s="131">
        <f t="shared" si="2"/>
        <v>274.3519205510129</v>
      </c>
      <c r="L16" s="131">
        <f t="shared" si="2"/>
        <v>524.3519205510129</v>
      </c>
      <c r="M16" s="131">
        <f t="shared" si="2"/>
        <v>774.3519205510129</v>
      </c>
      <c r="N16" s="132">
        <f t="shared" si="2"/>
        <v>1024.3519205510129</v>
      </c>
      <c r="P16" s="197"/>
      <c r="Q16" s="123">
        <f>Q15+0.5</f>
        <v>14.5</v>
      </c>
      <c r="R16" s="124">
        <f>R$12-($B$10/$E16)</f>
        <v>-514.2831294834543</v>
      </c>
      <c r="S16" s="124">
        <f t="shared" si="3"/>
        <v>-264.28312948345433</v>
      </c>
      <c r="T16" s="124">
        <f t="shared" si="3"/>
        <v>-14.283129483454331</v>
      </c>
      <c r="U16" s="124">
        <f t="shared" si="3"/>
        <v>235.71687051654567</v>
      </c>
      <c r="V16" s="124">
        <f t="shared" si="3"/>
        <v>485.71687051654567</v>
      </c>
      <c r="W16" s="124">
        <f t="shared" si="3"/>
        <v>735.7168705165457</v>
      </c>
      <c r="X16" s="124">
        <f t="shared" si="3"/>
        <v>985.7168705165457</v>
      </c>
      <c r="Y16" s="124">
        <f t="shared" si="3"/>
        <v>1235.7168705165457</v>
      </c>
      <c r="Z16" s="124">
        <f t="shared" si="3"/>
        <v>1485.7168705165457</v>
      </c>
    </row>
    <row r="17" spans="1:26" ht="13.5" customHeight="1" thickBot="1">
      <c r="A17" s="136" t="s">
        <v>20</v>
      </c>
      <c r="B17" s="189">
        <f>D4</f>
        <v>350</v>
      </c>
      <c r="C17" s="104"/>
      <c r="D17" s="198"/>
      <c r="E17" s="123">
        <f>E16+0.5</f>
        <v>15</v>
      </c>
      <c r="F17" s="137">
        <f t="shared" si="2"/>
        <v>-898.1264768006877</v>
      </c>
      <c r="G17" s="138">
        <f t="shared" si="2"/>
        <v>-648.1264768006877</v>
      </c>
      <c r="H17" s="139">
        <f t="shared" si="2"/>
        <v>-398.12647680068767</v>
      </c>
      <c r="I17" s="139">
        <f t="shared" si="2"/>
        <v>-148.12647680068767</v>
      </c>
      <c r="J17" s="139">
        <f t="shared" si="2"/>
        <v>101.87352319931233</v>
      </c>
      <c r="K17" s="139">
        <f t="shared" si="2"/>
        <v>351.87352319931233</v>
      </c>
      <c r="L17" s="139">
        <f t="shared" si="2"/>
        <v>601.8735231993123</v>
      </c>
      <c r="M17" s="139">
        <f t="shared" si="2"/>
        <v>851.8735231993123</v>
      </c>
      <c r="N17" s="140">
        <f t="shared" si="2"/>
        <v>1101.8735231993123</v>
      </c>
      <c r="P17" s="198"/>
      <c r="Q17" s="123">
        <f>Q16+0.5</f>
        <v>15</v>
      </c>
      <c r="R17" s="124">
        <f>R$12-($B$10/$E17)</f>
        <v>-452.1403585006726</v>
      </c>
      <c r="S17" s="124">
        <f>S$12-($B$10/$E17)</f>
        <v>-202.14035850067262</v>
      </c>
      <c r="T17" s="124">
        <f t="shared" si="3"/>
        <v>47.85964149932738</v>
      </c>
      <c r="U17" s="124">
        <f t="shared" si="3"/>
        <v>297.8596414993274</v>
      </c>
      <c r="V17" s="124">
        <f t="shared" si="3"/>
        <v>547.8596414993274</v>
      </c>
      <c r="W17" s="124">
        <f t="shared" si="3"/>
        <v>797.8596414993274</v>
      </c>
      <c r="X17" s="124">
        <f t="shared" si="3"/>
        <v>1047.8596414993274</v>
      </c>
      <c r="Y17" s="124">
        <f t="shared" si="3"/>
        <v>1297.8596414993274</v>
      </c>
      <c r="Z17" s="124">
        <f t="shared" si="3"/>
        <v>1547.8596414993274</v>
      </c>
    </row>
    <row r="18" spans="1:24" ht="13.5" customHeight="1" thickBot="1">
      <c r="A18" s="141" t="s">
        <v>21</v>
      </c>
      <c r="B18" s="142">
        <f>B16-B17</f>
        <v>2350</v>
      </c>
      <c r="C18" s="104"/>
      <c r="D18" s="143"/>
      <c r="E18" s="144"/>
      <c r="F18" s="145"/>
      <c r="G18" s="145"/>
      <c r="H18" s="145"/>
      <c r="I18" s="145"/>
      <c r="J18" s="145"/>
      <c r="K18" s="145"/>
      <c r="L18" s="145"/>
      <c r="P18" s="143"/>
      <c r="Q18" s="144"/>
      <c r="R18" s="145"/>
      <c r="S18" s="145"/>
      <c r="T18" s="145"/>
      <c r="U18" s="145"/>
      <c r="V18" s="145"/>
      <c r="W18" s="145"/>
      <c r="X18" s="145"/>
    </row>
    <row r="19" spans="1:24" s="98" customFormat="1" ht="13.5" customHeight="1">
      <c r="A19" s="146"/>
      <c r="B19" s="147"/>
      <c r="C19" s="148"/>
      <c r="D19" s="149"/>
      <c r="E19" s="150"/>
      <c r="F19" s="145"/>
      <c r="G19" s="145"/>
      <c r="H19" s="145"/>
      <c r="I19" s="145"/>
      <c r="J19" s="145"/>
      <c r="K19" s="145"/>
      <c r="L19" s="145"/>
      <c r="P19" s="149"/>
      <c r="Q19" s="150"/>
      <c r="R19" s="145"/>
      <c r="S19" s="145"/>
      <c r="T19" s="145"/>
      <c r="U19" s="145"/>
      <c r="V19" s="145"/>
      <c r="W19" s="145"/>
      <c r="X19" s="145"/>
    </row>
    <row r="20" spans="1:24" ht="13.5" customHeight="1">
      <c r="A20" s="98"/>
      <c r="B20" s="98"/>
      <c r="D20" s="143"/>
      <c r="E20" s="144"/>
      <c r="F20" s="145"/>
      <c r="G20" s="145"/>
      <c r="H20" s="145"/>
      <c r="I20" s="145"/>
      <c r="J20" s="145"/>
      <c r="K20" s="145"/>
      <c r="L20" s="145"/>
      <c r="P20" s="143"/>
      <c r="Q20" s="144"/>
      <c r="R20" s="145"/>
      <c r="S20" s="145"/>
      <c r="T20" s="145"/>
      <c r="U20" s="145"/>
      <c r="V20" s="145"/>
      <c r="W20" s="145"/>
      <c r="X20" s="145"/>
    </row>
    <row r="21" spans="1:2" ht="13.5" customHeight="1" thickBot="1">
      <c r="A21" s="204" t="s">
        <v>67</v>
      </c>
      <c r="B21" s="204"/>
    </row>
    <row r="22" spans="1:26" ht="19.5" customHeight="1" thickBot="1">
      <c r="A22" s="100" t="s">
        <v>22</v>
      </c>
      <c r="B22" s="101"/>
      <c r="C22" s="102"/>
      <c r="D22" s="201" t="s">
        <v>23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2"/>
      <c r="P22" s="201" t="s">
        <v>24</v>
      </c>
      <c r="Q22" s="205"/>
      <c r="R22" s="205"/>
      <c r="S22" s="205"/>
      <c r="T22" s="205"/>
      <c r="U22" s="205"/>
      <c r="V22" s="205"/>
      <c r="W22" s="205"/>
      <c r="X22" s="205"/>
      <c r="Y22" s="205"/>
      <c r="Z22" s="202"/>
    </row>
    <row r="23" spans="1:26" ht="13.5" customHeight="1" thickBot="1">
      <c r="A23" s="103" t="s">
        <v>11</v>
      </c>
      <c r="B23" s="195">
        <f>INDEX('Bes-soja (vermin bewerk)'!S9:U14,MATCH($B$27,Sojaopbrengspeil,0),2)</f>
        <v>16169.015087777425</v>
      </c>
      <c r="C23" s="151"/>
      <c r="D23" s="105"/>
      <c r="E23" s="106"/>
      <c r="F23" s="107"/>
      <c r="G23" s="108"/>
      <c r="H23" s="107"/>
      <c r="I23" s="107"/>
      <c r="J23" s="107" t="s">
        <v>25</v>
      </c>
      <c r="K23" s="109"/>
      <c r="L23" s="107"/>
      <c r="M23" s="109"/>
      <c r="N23" s="107"/>
      <c r="P23" s="105"/>
      <c r="Q23" s="106"/>
      <c r="R23" s="107"/>
      <c r="S23" s="108"/>
      <c r="T23" s="107"/>
      <c r="U23" s="107"/>
      <c r="V23" s="107" t="s">
        <v>25</v>
      </c>
      <c r="W23" s="109"/>
      <c r="X23" s="107"/>
      <c r="Y23" s="109"/>
      <c r="Z23" s="107"/>
    </row>
    <row r="24" spans="1:26" ht="13.5" customHeight="1" thickBot="1">
      <c r="A24" s="110" t="s">
        <v>13</v>
      </c>
      <c r="B24" s="195">
        <f>INDEX('Bes-soja (vermin bewerk)'!S10:U15,MATCH($B$27,Sojaopbrengspeil,0),3)</f>
        <v>6689.79177450023</v>
      </c>
      <c r="C24" s="151"/>
      <c r="D24" s="201" t="s">
        <v>14</v>
      </c>
      <c r="E24" s="202"/>
      <c r="F24" s="113">
        <f>G24-200</f>
        <v>5400</v>
      </c>
      <c r="G24" s="113">
        <f>H24-200</f>
        <v>5600</v>
      </c>
      <c r="H24" s="113">
        <f>I24-200</f>
        <v>5800</v>
      </c>
      <c r="I24" s="113">
        <f>J24-200</f>
        <v>6000</v>
      </c>
      <c r="J24" s="112">
        <f>B29</f>
        <v>6200</v>
      </c>
      <c r="K24" s="113">
        <f>J24+200</f>
        <v>6400</v>
      </c>
      <c r="L24" s="113">
        <f>K24+200</f>
        <v>6600</v>
      </c>
      <c r="M24" s="113">
        <f>L24+200</f>
        <v>6800</v>
      </c>
      <c r="N24" s="113">
        <f>M24+200</f>
        <v>7000</v>
      </c>
      <c r="P24" s="201" t="s">
        <v>14</v>
      </c>
      <c r="Q24" s="202"/>
      <c r="R24" s="113">
        <f>S24-200</f>
        <v>5400</v>
      </c>
      <c r="S24" s="113">
        <f>T24-200</f>
        <v>5600</v>
      </c>
      <c r="T24" s="113">
        <f>U24-200</f>
        <v>5800</v>
      </c>
      <c r="U24" s="113">
        <f>V24-200</f>
        <v>6000</v>
      </c>
      <c r="V24" s="114">
        <f>J24</f>
        <v>6200</v>
      </c>
      <c r="W24" s="113">
        <f>V24+200</f>
        <v>6400</v>
      </c>
      <c r="X24" s="113">
        <f>W24+200</f>
        <v>6600</v>
      </c>
      <c r="Y24" s="113">
        <f>X24+200</f>
        <v>6800</v>
      </c>
      <c r="Z24" s="113">
        <f>Y24+200</f>
        <v>7000</v>
      </c>
    </row>
    <row r="25" spans="1:26" ht="13.5" customHeight="1" thickBot="1">
      <c r="A25" s="115" t="s">
        <v>15</v>
      </c>
      <c r="B25" s="116">
        <f>B24+B23</f>
        <v>22858.806862277655</v>
      </c>
      <c r="C25" s="152"/>
      <c r="D25" s="199" t="s">
        <v>16</v>
      </c>
      <c r="E25" s="200"/>
      <c r="F25" s="153">
        <f aca="true" t="shared" si="4" ref="F25:N25">F24-$B$30</f>
        <v>5341</v>
      </c>
      <c r="G25" s="118">
        <f t="shared" si="4"/>
        <v>5541</v>
      </c>
      <c r="H25" s="118">
        <f t="shared" si="4"/>
        <v>5741</v>
      </c>
      <c r="I25" s="118">
        <f t="shared" si="4"/>
        <v>5941</v>
      </c>
      <c r="J25" s="120">
        <f t="shared" si="4"/>
        <v>6141</v>
      </c>
      <c r="K25" s="118">
        <f t="shared" si="4"/>
        <v>6341</v>
      </c>
      <c r="L25" s="118">
        <f t="shared" si="4"/>
        <v>6541</v>
      </c>
      <c r="M25" s="118">
        <f t="shared" si="4"/>
        <v>6741</v>
      </c>
      <c r="N25" s="118">
        <f t="shared" si="4"/>
        <v>6941</v>
      </c>
      <c r="P25" s="199" t="s">
        <v>16</v>
      </c>
      <c r="Q25" s="200"/>
      <c r="R25" s="118">
        <f aca="true" t="shared" si="5" ref="R25:Z25">R24-$B$30</f>
        <v>5341</v>
      </c>
      <c r="S25" s="118">
        <f t="shared" si="5"/>
        <v>5541</v>
      </c>
      <c r="T25" s="118">
        <f t="shared" si="5"/>
        <v>5741</v>
      </c>
      <c r="U25" s="118">
        <f t="shared" si="5"/>
        <v>5941</v>
      </c>
      <c r="V25" s="120">
        <f t="shared" si="5"/>
        <v>6141</v>
      </c>
      <c r="W25" s="118">
        <f t="shared" si="5"/>
        <v>6341</v>
      </c>
      <c r="X25" s="118">
        <f t="shared" si="5"/>
        <v>6541</v>
      </c>
      <c r="Y25" s="118">
        <f t="shared" si="5"/>
        <v>6741</v>
      </c>
      <c r="Z25" s="118">
        <f t="shared" si="5"/>
        <v>6941</v>
      </c>
    </row>
    <row r="26" spans="1:26" ht="13.5" customHeight="1" thickBot="1">
      <c r="A26" s="121"/>
      <c r="B26" s="122"/>
      <c r="C26" s="154"/>
      <c r="D26" s="196" t="s">
        <v>17</v>
      </c>
      <c r="E26" s="123">
        <f>E27-0.25</f>
        <v>3.5</v>
      </c>
      <c r="F26" s="124">
        <f>F$25-($B$25/$E26)</f>
        <v>-1190.0876749364734</v>
      </c>
      <c r="G26" s="125">
        <f aca="true" t="shared" si="6" ref="F26:N30">G$25-($B$25/$E26)</f>
        <v>-990.0876749364734</v>
      </c>
      <c r="H26" s="125">
        <f t="shared" si="6"/>
        <v>-790.0876749364734</v>
      </c>
      <c r="I26" s="125">
        <f t="shared" si="6"/>
        <v>-590.0876749364734</v>
      </c>
      <c r="J26" s="125">
        <f t="shared" si="6"/>
        <v>-390.0876749364734</v>
      </c>
      <c r="K26" s="125">
        <f t="shared" si="6"/>
        <v>-190.08767493647338</v>
      </c>
      <c r="L26" s="125">
        <f t="shared" si="6"/>
        <v>9.912325063526623</v>
      </c>
      <c r="M26" s="126">
        <f t="shared" si="6"/>
        <v>209.91232506352662</v>
      </c>
      <c r="N26" s="127">
        <f t="shared" si="6"/>
        <v>409.9123250635266</v>
      </c>
      <c r="P26" s="196" t="s">
        <v>17</v>
      </c>
      <c r="Q26" s="123">
        <f>Q27-0.25</f>
        <v>3.5</v>
      </c>
      <c r="R26" s="124">
        <f>R$25-($B$23/$E26)</f>
        <v>721.2814034921639</v>
      </c>
      <c r="S26" s="124">
        <f aca="true" t="shared" si="7" ref="S26:Z26">S$25-($B$23/$E26)</f>
        <v>921.2814034921639</v>
      </c>
      <c r="T26" s="124">
        <f t="shared" si="7"/>
        <v>1121.281403492164</v>
      </c>
      <c r="U26" s="124">
        <f t="shared" si="7"/>
        <v>1321.281403492164</v>
      </c>
      <c r="V26" s="124">
        <f t="shared" si="7"/>
        <v>1521.281403492164</v>
      </c>
      <c r="W26" s="124">
        <f t="shared" si="7"/>
        <v>1721.281403492164</v>
      </c>
      <c r="X26" s="124">
        <f t="shared" si="7"/>
        <v>1921.281403492164</v>
      </c>
      <c r="Y26" s="124">
        <f t="shared" si="7"/>
        <v>2121.281403492164</v>
      </c>
      <c r="Z26" s="124">
        <f t="shared" si="7"/>
        <v>2321.281403492164</v>
      </c>
    </row>
    <row r="27" spans="1:26" ht="13.5" customHeight="1" thickBot="1">
      <c r="A27" s="128" t="s">
        <v>18</v>
      </c>
      <c r="B27" s="233">
        <f>'Bes-soja (vermin bewerk)'!G5</f>
        <v>4</v>
      </c>
      <c r="C27" s="155"/>
      <c r="D27" s="197"/>
      <c r="E27" s="123">
        <f>E28-0.25</f>
        <v>3.75</v>
      </c>
      <c r="F27" s="129">
        <f t="shared" si="6"/>
        <v>-754.6818299407078</v>
      </c>
      <c r="G27" s="130">
        <f t="shared" si="6"/>
        <v>-554.6818299407078</v>
      </c>
      <c r="H27" s="130">
        <f t="shared" si="6"/>
        <v>-354.68182994070776</v>
      </c>
      <c r="I27" s="130">
        <f t="shared" si="6"/>
        <v>-154.68182994070776</v>
      </c>
      <c r="J27" s="130">
        <f t="shared" si="6"/>
        <v>45.31817005929224</v>
      </c>
      <c r="K27" s="131">
        <f t="shared" si="6"/>
        <v>245.31817005929224</v>
      </c>
      <c r="L27" s="131">
        <f t="shared" si="6"/>
        <v>445.31817005929224</v>
      </c>
      <c r="M27" s="131">
        <f t="shared" si="6"/>
        <v>645.3181700592922</v>
      </c>
      <c r="N27" s="132">
        <f t="shared" si="6"/>
        <v>845.3181700592922</v>
      </c>
      <c r="P27" s="197"/>
      <c r="Q27" s="123">
        <f>Q28-0.25</f>
        <v>3.75</v>
      </c>
      <c r="R27" s="124">
        <f aca="true" t="shared" si="8" ref="R27:Z30">R$25-($B$23/$E27)</f>
        <v>1029.2626432593534</v>
      </c>
      <c r="S27" s="124">
        <f t="shared" si="8"/>
        <v>1229.2626432593534</v>
      </c>
      <c r="T27" s="124">
        <f t="shared" si="8"/>
        <v>1429.2626432593534</v>
      </c>
      <c r="U27" s="124">
        <f t="shared" si="8"/>
        <v>1629.2626432593534</v>
      </c>
      <c r="V27" s="124">
        <f t="shared" si="8"/>
        <v>1829.2626432593534</v>
      </c>
      <c r="W27" s="124">
        <f t="shared" si="8"/>
        <v>2029.2626432593534</v>
      </c>
      <c r="X27" s="124">
        <f t="shared" si="8"/>
        <v>2229.2626432593534</v>
      </c>
      <c r="Y27" s="124">
        <f t="shared" si="8"/>
        <v>2429.2626432593534</v>
      </c>
      <c r="Z27" s="124">
        <f t="shared" si="8"/>
        <v>2629.2626432593534</v>
      </c>
    </row>
    <row r="28" spans="1:26" ht="13.5" customHeight="1" thickBot="1">
      <c r="A28" s="121"/>
      <c r="B28" s="122"/>
      <c r="C28" s="154"/>
      <c r="D28" s="197"/>
      <c r="E28" s="133">
        <f>B27</f>
        <v>4</v>
      </c>
      <c r="F28" s="129">
        <f t="shared" si="6"/>
        <v>-373.70171556941386</v>
      </c>
      <c r="G28" s="130">
        <f t="shared" si="6"/>
        <v>-173.70171556941386</v>
      </c>
      <c r="H28" s="130">
        <f>H$25-($B$25/$E28)</f>
        <v>26.298284430586136</v>
      </c>
      <c r="I28" s="130">
        <f t="shared" si="6"/>
        <v>226.29828443058614</v>
      </c>
      <c r="J28" s="131">
        <f t="shared" si="6"/>
        <v>426.29828443058614</v>
      </c>
      <c r="K28" s="131">
        <f t="shared" si="6"/>
        <v>626.2982844305861</v>
      </c>
      <c r="L28" s="131">
        <f t="shared" si="6"/>
        <v>826.2982844305861</v>
      </c>
      <c r="M28" s="131">
        <f t="shared" si="6"/>
        <v>1026.2982844305861</v>
      </c>
      <c r="N28" s="132">
        <f t="shared" si="6"/>
        <v>1226.2982844305861</v>
      </c>
      <c r="P28" s="197"/>
      <c r="Q28" s="133">
        <f>E28</f>
        <v>4</v>
      </c>
      <c r="R28" s="124">
        <f>R$25-($B$23/$E28)</f>
        <v>1298.7462280556438</v>
      </c>
      <c r="S28" s="124">
        <f t="shared" si="8"/>
        <v>1498.7462280556438</v>
      </c>
      <c r="T28" s="124">
        <f t="shared" si="8"/>
        <v>1698.7462280556438</v>
      </c>
      <c r="U28" s="124">
        <f t="shared" si="8"/>
        <v>1898.7462280556438</v>
      </c>
      <c r="V28" s="124">
        <f t="shared" si="8"/>
        <v>2098.7462280556438</v>
      </c>
      <c r="W28" s="124">
        <f t="shared" si="8"/>
        <v>2298.7462280556438</v>
      </c>
      <c r="X28" s="124">
        <f t="shared" si="8"/>
        <v>2498.7462280556438</v>
      </c>
      <c r="Y28" s="124">
        <f t="shared" si="8"/>
        <v>2698.7462280556438</v>
      </c>
      <c r="Z28" s="124">
        <f t="shared" si="8"/>
        <v>2898.7462280556438</v>
      </c>
    </row>
    <row r="29" spans="1:26" ht="13.5" customHeight="1" thickBot="1">
      <c r="A29" s="134" t="s">
        <v>26</v>
      </c>
      <c r="B29" s="156">
        <f>B5</f>
        <v>6200</v>
      </c>
      <c r="C29" s="154"/>
      <c r="D29" s="197"/>
      <c r="E29" s="123">
        <f>E28+0.25</f>
        <v>4.25</v>
      </c>
      <c r="F29" s="129">
        <f t="shared" si="6"/>
        <v>-37.542791124154064</v>
      </c>
      <c r="G29" s="130">
        <f t="shared" si="6"/>
        <v>162.45720887584594</v>
      </c>
      <c r="H29" s="130">
        <f t="shared" si="6"/>
        <v>362.45720887584594</v>
      </c>
      <c r="I29" s="131">
        <f t="shared" si="6"/>
        <v>562.4572088758459</v>
      </c>
      <c r="J29" s="131">
        <f t="shared" si="6"/>
        <v>762.4572088758459</v>
      </c>
      <c r="K29" s="131">
        <f t="shared" si="6"/>
        <v>962.4572088758459</v>
      </c>
      <c r="L29" s="131">
        <f t="shared" si="6"/>
        <v>1162.457208875846</v>
      </c>
      <c r="M29" s="131">
        <f t="shared" si="6"/>
        <v>1362.457208875846</v>
      </c>
      <c r="N29" s="132">
        <f t="shared" si="6"/>
        <v>1562.457208875846</v>
      </c>
      <c r="P29" s="197"/>
      <c r="Q29" s="123">
        <f>Q28+0.25</f>
        <v>4.25</v>
      </c>
      <c r="R29" s="124">
        <f t="shared" si="8"/>
        <v>1536.5258616994292</v>
      </c>
      <c r="S29" s="124">
        <f t="shared" si="8"/>
        <v>1736.5258616994292</v>
      </c>
      <c r="T29" s="124">
        <f t="shared" si="8"/>
        <v>1936.5258616994292</v>
      </c>
      <c r="U29" s="124">
        <f t="shared" si="8"/>
        <v>2136.5258616994292</v>
      </c>
      <c r="V29" s="124">
        <f>V$25-($B$23/$E29)</f>
        <v>2336.5258616994292</v>
      </c>
      <c r="W29" s="124">
        <f t="shared" si="8"/>
        <v>2536.5258616994292</v>
      </c>
      <c r="X29" s="124">
        <f t="shared" si="8"/>
        <v>2736.5258616994292</v>
      </c>
      <c r="Y29" s="124">
        <f t="shared" si="8"/>
        <v>2936.5258616994292</v>
      </c>
      <c r="Z29" s="124">
        <f t="shared" si="8"/>
        <v>3136.5258616994292</v>
      </c>
    </row>
    <row r="30" spans="1:26" ht="13.5" customHeight="1" thickBot="1">
      <c r="A30" s="136" t="s">
        <v>20</v>
      </c>
      <c r="B30" s="189">
        <f>D5</f>
        <v>59</v>
      </c>
      <c r="C30" s="157"/>
      <c r="D30" s="198"/>
      <c r="E30" s="123">
        <f>E29+0.25</f>
        <v>4.5</v>
      </c>
      <c r="F30" s="137">
        <f t="shared" si="6"/>
        <v>261.26514171607687</v>
      </c>
      <c r="G30" s="138">
        <f t="shared" si="6"/>
        <v>461.26514171607687</v>
      </c>
      <c r="H30" s="139">
        <f t="shared" si="6"/>
        <v>661.2651417160769</v>
      </c>
      <c r="I30" s="139">
        <f t="shared" si="6"/>
        <v>861.2651417160769</v>
      </c>
      <c r="J30" s="139">
        <f t="shared" si="6"/>
        <v>1061.2651417160769</v>
      </c>
      <c r="K30" s="139">
        <f t="shared" si="6"/>
        <v>1261.2651417160769</v>
      </c>
      <c r="L30" s="139">
        <f t="shared" si="6"/>
        <v>1461.2651417160769</v>
      </c>
      <c r="M30" s="139">
        <f t="shared" si="6"/>
        <v>1661.2651417160769</v>
      </c>
      <c r="N30" s="140">
        <f t="shared" si="6"/>
        <v>1861.2651417160769</v>
      </c>
      <c r="P30" s="198"/>
      <c r="Q30" s="123">
        <f>Q29+0.25</f>
        <v>4.5</v>
      </c>
      <c r="R30" s="124">
        <f t="shared" si="8"/>
        <v>1747.8855360494613</v>
      </c>
      <c r="S30" s="124">
        <f t="shared" si="8"/>
        <v>1947.8855360494613</v>
      </c>
      <c r="T30" s="124">
        <f t="shared" si="8"/>
        <v>2147.8855360494613</v>
      </c>
      <c r="U30" s="124">
        <f t="shared" si="8"/>
        <v>2347.8855360494613</v>
      </c>
      <c r="V30" s="124">
        <f t="shared" si="8"/>
        <v>2547.8855360494613</v>
      </c>
      <c r="W30" s="124">
        <f t="shared" si="8"/>
        <v>2747.8855360494613</v>
      </c>
      <c r="X30" s="124">
        <f t="shared" si="8"/>
        <v>2947.8855360494613</v>
      </c>
      <c r="Y30" s="124">
        <f t="shared" si="8"/>
        <v>3147.8855360494613</v>
      </c>
      <c r="Z30" s="124">
        <f t="shared" si="8"/>
        <v>3347.8855360494613</v>
      </c>
    </row>
    <row r="31" spans="1:3" ht="13.5" customHeight="1" thickBot="1">
      <c r="A31" s="141" t="s">
        <v>21</v>
      </c>
      <c r="B31" s="142">
        <f>B29-B30</f>
        <v>6141</v>
      </c>
      <c r="C31" s="157"/>
    </row>
    <row r="32" ht="13.5" customHeight="1"/>
    <row r="33" ht="13.5" customHeight="1"/>
  </sheetData>
  <sheetProtection sheet="1" selectLockedCells="1"/>
  <mergeCells count="18">
    <mergeCell ref="A8:B8"/>
    <mergeCell ref="A21:B21"/>
    <mergeCell ref="D22:N22"/>
    <mergeCell ref="P22:Z22"/>
    <mergeCell ref="D13:D17"/>
    <mergeCell ref="P13:P17"/>
    <mergeCell ref="D9:N9"/>
    <mergeCell ref="P9:Z9"/>
    <mergeCell ref="D11:E11"/>
    <mergeCell ref="P11:Q11"/>
    <mergeCell ref="D26:D30"/>
    <mergeCell ref="P26:P30"/>
    <mergeCell ref="D12:E12"/>
    <mergeCell ref="P12:Q12"/>
    <mergeCell ref="D24:E24"/>
    <mergeCell ref="P24:Q24"/>
    <mergeCell ref="D25:E25"/>
    <mergeCell ref="P25:Q25"/>
  </mergeCells>
  <conditionalFormatting sqref="F13:N17">
    <cfRule type="cellIs" priority="21" dxfId="0" operator="lessThan" stopIfTrue="1">
      <formula>1</formula>
    </cfRule>
    <cfRule type="cellIs" priority="22" dxfId="1" operator="greaterThan" stopIfTrue="1">
      <formula>1</formula>
    </cfRule>
    <cfRule type="cellIs" priority="23" dxfId="0" operator="lessThan" stopIfTrue="1">
      <formula>1</formula>
    </cfRule>
    <cfRule type="cellIs" priority="24" dxfId="1" operator="greaterThan" stopIfTrue="1">
      <formula>1</formula>
    </cfRule>
  </conditionalFormatting>
  <conditionalFormatting sqref="F26:N30">
    <cfRule type="cellIs" priority="17" dxfId="0" operator="lessThan" stopIfTrue="1">
      <formula>1</formula>
    </cfRule>
    <cfRule type="cellIs" priority="18" dxfId="1" operator="greaterThan" stopIfTrue="1">
      <formula>1</formula>
    </cfRule>
    <cfRule type="cellIs" priority="19" dxfId="0" operator="lessThan" stopIfTrue="1">
      <formula>1</formula>
    </cfRule>
    <cfRule type="cellIs" priority="20" dxfId="1" operator="greaterThan" stopIfTrue="1">
      <formula>1</formula>
    </cfRule>
  </conditionalFormatting>
  <conditionalFormatting sqref="R13:Z17">
    <cfRule type="cellIs" priority="13" dxfId="0" operator="lessThan" stopIfTrue="1">
      <formula>1</formula>
    </cfRule>
    <cfRule type="cellIs" priority="14" dxfId="1" operator="greaterThan" stopIfTrue="1">
      <formula>1</formula>
    </cfRule>
    <cfRule type="cellIs" priority="15" dxfId="0" operator="lessThan" stopIfTrue="1">
      <formula>1</formula>
    </cfRule>
    <cfRule type="cellIs" priority="16" dxfId="1" operator="greaterThan" stopIfTrue="1">
      <formula>1</formula>
    </cfRule>
  </conditionalFormatting>
  <conditionalFormatting sqref="R26:Z30">
    <cfRule type="cellIs" priority="9" dxfId="0" operator="lessThan" stopIfTrue="1">
      <formula>1</formula>
    </cfRule>
    <cfRule type="cellIs" priority="10" dxfId="1" operator="greaterThan" stopIfTrue="1">
      <formula>1</formula>
    </cfRule>
    <cfRule type="cellIs" priority="11" dxfId="0" operator="lessThan" stopIfTrue="1">
      <formula>1</formula>
    </cfRule>
    <cfRule type="cellIs" priority="12" dxfId="1" operator="greaterThan" stopIfTrue="1">
      <formula>1</formula>
    </cfRule>
  </conditionalFormatting>
  <dataValidations count="2">
    <dataValidation type="list" allowBlank="1" showInputMessage="1" showErrorMessage="1" sqref="B14">
      <formula1>Opbrengspeil</formula1>
    </dataValidation>
    <dataValidation type="list" allowBlank="1" showInputMessage="1" showErrorMessage="1" sqref="B27">
      <formula1>Sojaopbrengspeil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="90" zoomScaleNormal="90" zoomScaleSheetLayoutView="90" zoomScalePageLayoutView="0" workbookViewId="0" topLeftCell="A1">
      <selection activeCell="A1" sqref="A1:D1"/>
    </sheetView>
  </sheetViews>
  <sheetFormatPr defaultColWidth="9.140625" defaultRowHeight="12.75"/>
  <cols>
    <col min="1" max="1" width="43.140625" style="2" customWidth="1"/>
    <col min="2" max="2" width="12.140625" style="2" customWidth="1"/>
    <col min="3" max="3" width="11.421875" style="2" customWidth="1"/>
    <col min="4" max="4" width="10.57421875" style="2" customWidth="1"/>
    <col min="5" max="5" width="10.140625" style="2" customWidth="1"/>
    <col min="6" max="8" width="10.7109375" style="2" customWidth="1"/>
    <col min="9" max="9" width="11.7109375" style="2" customWidth="1"/>
    <col min="10" max="10" width="11.00390625" style="2" customWidth="1"/>
    <col min="11" max="11" width="10.7109375" style="2" hidden="1" customWidth="1"/>
    <col min="12" max="12" width="11.57421875" style="2" hidden="1" customWidth="1"/>
    <col min="13" max="21" width="12.7109375" style="2" hidden="1" customWidth="1"/>
    <col min="22" max="26" width="12.7109375" style="2" customWidth="1"/>
    <col min="27" max="37" width="9.140625" style="2" customWidth="1"/>
    <col min="38" max="16384" width="9.140625" style="2" customWidth="1"/>
  </cols>
  <sheetData>
    <row r="1" spans="1:10" ht="33" customHeight="1" thickBot="1">
      <c r="A1" s="222" t="s">
        <v>32</v>
      </c>
      <c r="B1" s="223"/>
      <c r="C1" s="223"/>
      <c r="D1" s="223"/>
      <c r="E1" s="224" t="s">
        <v>34</v>
      </c>
      <c r="F1" s="224"/>
      <c r="G1" s="224"/>
      <c r="H1" s="3"/>
      <c r="I1" s="19"/>
      <c r="J1" s="17"/>
    </row>
    <row r="2" spans="1:10" ht="16.5" thickBot="1">
      <c r="A2" s="20"/>
      <c r="B2" s="21"/>
      <c r="C2" s="22"/>
      <c r="D2" s="22"/>
      <c r="E2" s="14"/>
      <c r="F2" s="14"/>
      <c r="G2" s="14"/>
      <c r="H2" s="14"/>
      <c r="I2" s="6"/>
      <c r="J2" s="4"/>
    </row>
    <row r="3" spans="1:9" ht="27" customHeight="1" thickBot="1">
      <c r="A3" s="227" t="s">
        <v>35</v>
      </c>
      <c r="B3" s="225"/>
      <c r="C3" s="225"/>
      <c r="D3" s="80"/>
      <c r="E3" s="186">
        <f>'Pryse + Sensatiwiteitsanalise'!B18</f>
        <v>2350</v>
      </c>
      <c r="F3" s="80" t="s">
        <v>4</v>
      </c>
      <c r="G3" s="80"/>
      <c r="H3" s="78"/>
      <c r="I3" s="81"/>
    </row>
    <row r="4" spans="1:10" ht="13.5" thickBot="1">
      <c r="A4" s="173"/>
      <c r="B4" s="174"/>
      <c r="C4" s="174"/>
      <c r="D4" s="86"/>
      <c r="E4" s="85"/>
      <c r="F4" s="84"/>
      <c r="G4" s="87"/>
      <c r="H4" s="83"/>
      <c r="I4" s="79"/>
      <c r="J4" s="4"/>
    </row>
    <row r="5" spans="1:10" ht="13.5" thickBot="1">
      <c r="A5" s="173" t="s">
        <v>36</v>
      </c>
      <c r="B5" s="174"/>
      <c r="C5" s="174"/>
      <c r="D5" s="82">
        <v>11</v>
      </c>
      <c r="E5" s="82">
        <v>12</v>
      </c>
      <c r="F5" s="82">
        <v>13</v>
      </c>
      <c r="G5" s="82">
        <v>14</v>
      </c>
      <c r="H5" s="82">
        <v>15</v>
      </c>
      <c r="I5" s="82">
        <v>16</v>
      </c>
      <c r="J5" s="4"/>
    </row>
    <row r="6" spans="1:10" ht="13.5" thickBot="1">
      <c r="A6" s="175" t="s">
        <v>37</v>
      </c>
      <c r="B6" s="176"/>
      <c r="C6" s="181"/>
      <c r="D6" s="11">
        <f aca="true" t="shared" si="0" ref="D6:I6">$E$3*D5</f>
        <v>25850</v>
      </c>
      <c r="E6" s="11">
        <f t="shared" si="0"/>
        <v>28200</v>
      </c>
      <c r="F6" s="11">
        <f t="shared" si="0"/>
        <v>30550</v>
      </c>
      <c r="G6" s="11">
        <f t="shared" si="0"/>
        <v>32900</v>
      </c>
      <c r="H6" s="11">
        <f t="shared" si="0"/>
        <v>35250</v>
      </c>
      <c r="I6" s="11">
        <f t="shared" si="0"/>
        <v>37600</v>
      </c>
      <c r="J6" s="4"/>
    </row>
    <row r="7" spans="1:21" ht="15.75" thickBot="1">
      <c r="A7" s="178"/>
      <c r="B7" s="179"/>
      <c r="C7" s="179"/>
      <c r="D7" s="27"/>
      <c r="E7" s="27"/>
      <c r="F7" s="27"/>
      <c r="G7" s="27"/>
      <c r="H7" s="27"/>
      <c r="I7" s="27"/>
      <c r="J7" s="4"/>
      <c r="S7" s="212" t="s">
        <v>70</v>
      </c>
      <c r="T7" s="212"/>
      <c r="U7" s="212"/>
    </row>
    <row r="8" spans="1:21" ht="15.75" thickBot="1">
      <c r="A8" s="228" t="s">
        <v>38</v>
      </c>
      <c r="B8" s="229"/>
      <c r="C8" s="230"/>
      <c r="D8" s="28"/>
      <c r="E8" s="28"/>
      <c r="F8" s="28"/>
      <c r="G8" s="28"/>
      <c r="H8" s="28"/>
      <c r="I8" s="28"/>
      <c r="J8" s="4"/>
      <c r="S8" s="193" t="s">
        <v>71</v>
      </c>
      <c r="T8" s="193" t="s">
        <v>72</v>
      </c>
      <c r="U8" s="193" t="s">
        <v>73</v>
      </c>
    </row>
    <row r="9" spans="1:21" ht="15">
      <c r="A9" s="182" t="s">
        <v>39</v>
      </c>
      <c r="B9" s="183"/>
      <c r="C9" s="183"/>
      <c r="D9" s="70">
        <v>4392.28125</v>
      </c>
      <c r="E9" s="70">
        <v>4392.28125</v>
      </c>
      <c r="F9" s="70">
        <v>4392.28125</v>
      </c>
      <c r="G9" s="70">
        <v>4392.28125</v>
      </c>
      <c r="H9" s="70">
        <v>4880.3125</v>
      </c>
      <c r="I9" s="70">
        <v>4880.3125</v>
      </c>
      <c r="J9" s="4"/>
      <c r="S9" s="194">
        <f>D5</f>
        <v>11</v>
      </c>
      <c r="T9" s="194">
        <f>D26</f>
        <v>25855.297206062718</v>
      </c>
      <c r="U9" s="194">
        <f>D28</f>
        <v>6689.79177450023</v>
      </c>
    </row>
    <row r="10" spans="1:21" ht="15">
      <c r="A10" s="177" t="s">
        <v>40</v>
      </c>
      <c r="B10" s="180"/>
      <c r="C10" s="180"/>
      <c r="D10" s="71">
        <v>9441</v>
      </c>
      <c r="E10" s="71">
        <v>9441</v>
      </c>
      <c r="F10" s="71">
        <v>9441</v>
      </c>
      <c r="G10" s="71">
        <v>9441</v>
      </c>
      <c r="H10" s="71">
        <v>9953.2</v>
      </c>
      <c r="I10" s="71">
        <v>9953.2</v>
      </c>
      <c r="J10" s="4"/>
      <c r="S10" s="194">
        <f>E5</f>
        <v>12</v>
      </c>
      <c r="T10" s="194">
        <f>E26</f>
        <v>26356.37293865044</v>
      </c>
      <c r="U10" s="194">
        <f>E28</f>
        <v>6689.79177450023</v>
      </c>
    </row>
    <row r="11" spans="1:21" ht="15">
      <c r="A11" s="177" t="s">
        <v>41</v>
      </c>
      <c r="B11" s="180"/>
      <c r="C11" s="180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4"/>
      <c r="S11" s="194">
        <f>F5</f>
        <v>13</v>
      </c>
      <c r="T11" s="194">
        <f>F26</f>
        <v>26898.251049527633</v>
      </c>
      <c r="U11" s="194">
        <f>F28</f>
        <v>6689.79177450023</v>
      </c>
    </row>
    <row r="12" spans="1:21" ht="15">
      <c r="A12" s="177" t="s">
        <v>42</v>
      </c>
      <c r="B12" s="180"/>
      <c r="C12" s="180"/>
      <c r="D12" s="71">
        <v>1057.11608</v>
      </c>
      <c r="E12" s="71">
        <v>1084.57158</v>
      </c>
      <c r="F12" s="71">
        <v>1112.02708</v>
      </c>
      <c r="G12" s="71">
        <v>1139.48258</v>
      </c>
      <c r="H12" s="71">
        <v>1166.9380800000001</v>
      </c>
      <c r="I12" s="71">
        <v>1194.39358</v>
      </c>
      <c r="J12" s="4"/>
      <c r="S12" s="194">
        <f>G5</f>
        <v>14</v>
      </c>
      <c r="T12" s="194">
        <f>G26</f>
        <v>27032.105377510088</v>
      </c>
      <c r="U12" s="194">
        <f>G28</f>
        <v>6689.79177450023</v>
      </c>
    </row>
    <row r="13" spans="1:21" ht="15">
      <c r="A13" s="177" t="s">
        <v>43</v>
      </c>
      <c r="B13" s="180"/>
      <c r="C13" s="180"/>
      <c r="D13" s="71">
        <v>572.364</v>
      </c>
      <c r="E13" s="71">
        <v>578.4939999999999</v>
      </c>
      <c r="F13" s="71">
        <v>584.624</v>
      </c>
      <c r="G13" s="71">
        <v>590.7539999999999</v>
      </c>
      <c r="H13" s="71">
        <v>596.884</v>
      </c>
      <c r="I13" s="71">
        <v>603.0139999999999</v>
      </c>
      <c r="J13" s="4"/>
      <c r="S13" s="194">
        <f>H5</f>
        <v>15</v>
      </c>
      <c r="T13" s="194">
        <f>H26</f>
        <v>28700.603608178946</v>
      </c>
      <c r="U13" s="194">
        <f>H28</f>
        <v>6689.79177450023</v>
      </c>
    </row>
    <row r="14" spans="1:21" ht="15">
      <c r="A14" s="177" t="s">
        <v>44</v>
      </c>
      <c r="B14" s="180"/>
      <c r="C14" s="180"/>
      <c r="D14" s="71">
        <v>253.7</v>
      </c>
      <c r="E14" s="71">
        <v>253.7</v>
      </c>
      <c r="F14" s="71">
        <v>253.7</v>
      </c>
      <c r="G14" s="71">
        <v>253.7</v>
      </c>
      <c r="H14" s="71">
        <v>253.7</v>
      </c>
      <c r="I14" s="71">
        <v>253.7</v>
      </c>
      <c r="J14" s="4"/>
      <c r="S14" s="194">
        <f>I5</f>
        <v>16</v>
      </c>
      <c r="T14" s="194">
        <f>I26</f>
        <v>29283.284097345615</v>
      </c>
      <c r="U14" s="194">
        <f>I28</f>
        <v>6689.79177450023</v>
      </c>
    </row>
    <row r="15" spans="1:10" ht="12.75">
      <c r="A15" s="177" t="s">
        <v>45</v>
      </c>
      <c r="B15" s="180"/>
      <c r="C15" s="180"/>
      <c r="D15" s="71">
        <v>2571.28</v>
      </c>
      <c r="E15" s="71">
        <v>2571.28</v>
      </c>
      <c r="F15" s="71">
        <v>2571.28</v>
      </c>
      <c r="G15" s="71">
        <v>2571.28</v>
      </c>
      <c r="H15" s="71">
        <v>2571.28</v>
      </c>
      <c r="I15" s="71">
        <v>2571.28</v>
      </c>
      <c r="J15" s="4"/>
    </row>
    <row r="16" spans="1:10" ht="12.75">
      <c r="A16" s="177" t="s">
        <v>46</v>
      </c>
      <c r="B16" s="180"/>
      <c r="C16" s="180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4"/>
    </row>
    <row r="17" spans="1:10" ht="12.75">
      <c r="A17" s="177" t="s">
        <v>47</v>
      </c>
      <c r="B17" s="180"/>
      <c r="C17" s="180"/>
      <c r="D17" s="71">
        <v>3399.225</v>
      </c>
      <c r="E17" s="71">
        <v>3725.25</v>
      </c>
      <c r="F17" s="71">
        <v>4087.5</v>
      </c>
      <c r="G17" s="71">
        <v>4087.5</v>
      </c>
      <c r="H17" s="71">
        <v>4449.75</v>
      </c>
      <c r="I17" s="71">
        <v>4848.225000000001</v>
      </c>
      <c r="J17" s="4"/>
    </row>
    <row r="18" spans="1:10" ht="12.75">
      <c r="A18" s="177" t="s">
        <v>48</v>
      </c>
      <c r="B18" s="180"/>
      <c r="C18" s="180"/>
      <c r="D18" s="71">
        <v>1610.8592161403508</v>
      </c>
      <c r="E18" s="71">
        <v>1642.0776722807016</v>
      </c>
      <c r="F18" s="71">
        <v>1675.8382336842108</v>
      </c>
      <c r="G18" s="71">
        <v>1684.1777424561403</v>
      </c>
      <c r="H18" s="71">
        <v>1788.1299705263157</v>
      </c>
      <c r="I18" s="71">
        <v>1824.4326371929826</v>
      </c>
      <c r="J18" s="4"/>
    </row>
    <row r="19" spans="1:10" ht="12.75">
      <c r="A19" s="177" t="s">
        <v>49</v>
      </c>
      <c r="B19" s="180"/>
      <c r="C19" s="180"/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4"/>
    </row>
    <row r="20" spans="1:10" ht="12.75">
      <c r="A20" s="177" t="s">
        <v>50</v>
      </c>
      <c r="B20" s="180"/>
      <c r="C20" s="180"/>
      <c r="D20" s="71">
        <v>937.7774999999999</v>
      </c>
      <c r="E20" s="71">
        <v>1023.03</v>
      </c>
      <c r="F20" s="71">
        <v>1108.2825</v>
      </c>
      <c r="G20" s="71">
        <v>1193.5349999999999</v>
      </c>
      <c r="H20" s="71">
        <v>1278.7875</v>
      </c>
      <c r="I20" s="71">
        <v>1364.04</v>
      </c>
      <c r="J20" s="4"/>
    </row>
    <row r="21" spans="1:10" ht="12.75">
      <c r="A21" s="177" t="s">
        <v>51</v>
      </c>
      <c r="B21" s="180"/>
      <c r="C21" s="180"/>
      <c r="D21" s="71">
        <v>330</v>
      </c>
      <c r="E21" s="71">
        <v>330</v>
      </c>
      <c r="F21" s="71">
        <v>330</v>
      </c>
      <c r="G21" s="71">
        <v>330</v>
      </c>
      <c r="H21" s="71">
        <v>330</v>
      </c>
      <c r="I21" s="71">
        <v>330</v>
      </c>
      <c r="J21" s="4"/>
    </row>
    <row r="22" spans="1:10" s="16" customFormat="1" ht="12.75">
      <c r="A22" s="177" t="s">
        <v>52</v>
      </c>
      <c r="B22" s="180"/>
      <c r="C22" s="180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4"/>
    </row>
    <row r="23" spans="1:10" s="16" customFormat="1" ht="12.75">
      <c r="A23" s="177" t="s">
        <v>53</v>
      </c>
      <c r="B23" s="180"/>
      <c r="C23" s="180"/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4"/>
    </row>
    <row r="24" spans="1:10" s="16" customFormat="1" ht="12.75">
      <c r="A24" s="177" t="s">
        <v>54</v>
      </c>
      <c r="B24" s="180"/>
      <c r="C24" s="180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4"/>
    </row>
    <row r="25" spans="1:10" s="16" customFormat="1" ht="13.5" thickBot="1">
      <c r="A25" s="177" t="s">
        <v>55</v>
      </c>
      <c r="B25" s="180"/>
      <c r="C25" s="180"/>
      <c r="D25" s="71">
        <v>1289.6941599223683</v>
      </c>
      <c r="E25" s="71">
        <v>1314.6884363697368</v>
      </c>
      <c r="F25" s="71">
        <v>1341.717985843421</v>
      </c>
      <c r="G25" s="71">
        <v>1348.3948050539473</v>
      </c>
      <c r="H25" s="71">
        <v>1431.6215576526313</v>
      </c>
      <c r="I25" s="71">
        <v>1460.6863801526317</v>
      </c>
      <c r="J25" s="4"/>
    </row>
    <row r="26" spans="1:10" s="16" customFormat="1" ht="26.25" customHeight="1" thickBot="1">
      <c r="A26" s="209" t="s">
        <v>56</v>
      </c>
      <c r="B26" s="210"/>
      <c r="C26" s="211"/>
      <c r="D26" s="72">
        <f aca="true" t="shared" si="1" ref="D26:I26">SUM(D9:D25)</f>
        <v>25855.297206062718</v>
      </c>
      <c r="E26" s="72">
        <f t="shared" si="1"/>
        <v>26356.37293865044</v>
      </c>
      <c r="F26" s="72">
        <f t="shared" si="1"/>
        <v>26898.251049527633</v>
      </c>
      <c r="G26" s="72">
        <f t="shared" si="1"/>
        <v>27032.105377510088</v>
      </c>
      <c r="H26" s="72">
        <f t="shared" si="1"/>
        <v>28700.603608178946</v>
      </c>
      <c r="I26" s="72">
        <f t="shared" si="1"/>
        <v>29283.284097345615</v>
      </c>
      <c r="J26" s="4"/>
    </row>
    <row r="27" spans="1:10" s="16" customFormat="1" ht="13.5" thickBot="1">
      <c r="A27" s="184"/>
      <c r="B27" s="185"/>
      <c r="C27" s="185"/>
      <c r="D27" s="73"/>
      <c r="E27" s="73"/>
      <c r="F27" s="73"/>
      <c r="G27" s="73"/>
      <c r="H27" s="73"/>
      <c r="I27" s="73"/>
      <c r="J27" s="4"/>
    </row>
    <row r="28" spans="1:10" ht="13.5" thickBot="1">
      <c r="A28" s="206" t="s">
        <v>57</v>
      </c>
      <c r="B28" s="207"/>
      <c r="C28" s="208"/>
      <c r="D28" s="72">
        <v>6689.79177450023</v>
      </c>
      <c r="E28" s="72">
        <v>6689.79177450023</v>
      </c>
      <c r="F28" s="72">
        <v>6689.79177450023</v>
      </c>
      <c r="G28" s="72">
        <v>6689.79177450023</v>
      </c>
      <c r="H28" s="72">
        <v>6689.79177450023</v>
      </c>
      <c r="I28" s="72">
        <v>6689.79177450023</v>
      </c>
      <c r="J28" s="29"/>
    </row>
    <row r="29" spans="1:10" ht="13.5" thickBot="1">
      <c r="A29" s="184"/>
      <c r="B29" s="185"/>
      <c r="C29" s="185"/>
      <c r="D29" s="73"/>
      <c r="E29" s="73"/>
      <c r="F29" s="73"/>
      <c r="G29" s="73"/>
      <c r="H29" s="73"/>
      <c r="I29" s="73"/>
      <c r="J29" s="4"/>
    </row>
    <row r="30" spans="1:10" ht="26.25" customHeight="1" thickBot="1">
      <c r="A30" s="209" t="s">
        <v>58</v>
      </c>
      <c r="B30" s="210"/>
      <c r="C30" s="211"/>
      <c r="D30" s="72">
        <f aca="true" t="shared" si="2" ref="D30:I30">D26+D28</f>
        <v>32545.08898056295</v>
      </c>
      <c r="E30" s="72">
        <f t="shared" si="2"/>
        <v>33046.16471315067</v>
      </c>
      <c r="F30" s="72">
        <f t="shared" si="2"/>
        <v>33588.04282402786</v>
      </c>
      <c r="G30" s="72">
        <f t="shared" si="2"/>
        <v>33721.897152010315</v>
      </c>
      <c r="H30" s="72">
        <f t="shared" si="2"/>
        <v>35390.39538267918</v>
      </c>
      <c r="I30" s="72">
        <f t="shared" si="2"/>
        <v>35973.075871845846</v>
      </c>
      <c r="J30" s="4"/>
    </row>
    <row r="31" spans="1:10" ht="13.5" thickBot="1">
      <c r="A31" s="178"/>
      <c r="B31" s="179"/>
      <c r="C31" s="179"/>
      <c r="D31" s="75"/>
      <c r="E31" s="75"/>
      <c r="F31" s="75"/>
      <c r="G31" s="75"/>
      <c r="H31" s="75"/>
      <c r="I31" s="75"/>
      <c r="J31" s="4"/>
    </row>
    <row r="32" spans="1:10" ht="27" customHeight="1" thickBot="1">
      <c r="A32" s="209" t="s">
        <v>59</v>
      </c>
      <c r="B32" s="225"/>
      <c r="C32" s="226"/>
      <c r="D32" s="72">
        <f aca="true" t="shared" si="3" ref="D32:I32">D30/D5</f>
        <v>2958.6444527784497</v>
      </c>
      <c r="E32" s="72">
        <f t="shared" si="3"/>
        <v>2753.8470594292226</v>
      </c>
      <c r="F32" s="72">
        <f t="shared" si="3"/>
        <v>2583.695601848297</v>
      </c>
      <c r="G32" s="72">
        <f t="shared" si="3"/>
        <v>2408.706939429308</v>
      </c>
      <c r="H32" s="72">
        <f t="shared" si="3"/>
        <v>2359.3596921786116</v>
      </c>
      <c r="I32" s="72">
        <f t="shared" si="3"/>
        <v>2248.3172419903653</v>
      </c>
      <c r="J32" s="4"/>
    </row>
    <row r="33" spans="1:10" ht="13.5" thickBot="1">
      <c r="A33" s="178"/>
      <c r="B33" s="179"/>
      <c r="C33" s="179"/>
      <c r="D33" s="75"/>
      <c r="E33" s="75"/>
      <c r="F33" s="75"/>
      <c r="G33" s="75"/>
      <c r="H33" s="75"/>
      <c r="I33" s="75"/>
      <c r="J33" s="4"/>
    </row>
    <row r="34" spans="1:10" ht="13.5" thickBot="1">
      <c r="A34" s="175" t="s">
        <v>60</v>
      </c>
      <c r="B34" s="176"/>
      <c r="C34" s="176"/>
      <c r="D34" s="72">
        <f>'Pryse + Sensatiwiteitsanalise'!D4</f>
        <v>350</v>
      </c>
      <c r="E34" s="72">
        <f>$D$34</f>
        <v>350</v>
      </c>
      <c r="F34" s="72">
        <f>$D$34</f>
        <v>350</v>
      </c>
      <c r="G34" s="72">
        <f>$D$34</f>
        <v>350</v>
      </c>
      <c r="H34" s="72">
        <f>$D$34</f>
        <v>350</v>
      </c>
      <c r="I34" s="72">
        <f>$D$34</f>
        <v>350</v>
      </c>
      <c r="J34" s="4"/>
    </row>
    <row r="35" spans="1:10" ht="13.5" thickBot="1">
      <c r="A35" s="178"/>
      <c r="B35" s="179"/>
      <c r="C35" s="179"/>
      <c r="D35" s="75"/>
      <c r="E35" s="75"/>
      <c r="F35" s="75"/>
      <c r="G35" s="75"/>
      <c r="H35" s="75"/>
      <c r="I35" s="75"/>
      <c r="J35" s="4"/>
    </row>
    <row r="36" spans="1:10" ht="13.5" thickBot="1">
      <c r="A36" s="227" t="s">
        <v>61</v>
      </c>
      <c r="B36" s="225"/>
      <c r="C36" s="226"/>
      <c r="D36" s="74">
        <f aca="true" t="shared" si="4" ref="D36:I36">D32+D34</f>
        <v>3308.6444527784497</v>
      </c>
      <c r="E36" s="74">
        <f t="shared" si="4"/>
        <v>3103.8470594292226</v>
      </c>
      <c r="F36" s="74">
        <f t="shared" si="4"/>
        <v>2933.695601848297</v>
      </c>
      <c r="G36" s="74">
        <f t="shared" si="4"/>
        <v>2758.706939429308</v>
      </c>
      <c r="H36" s="74">
        <f t="shared" si="4"/>
        <v>2709.3596921786116</v>
      </c>
      <c r="I36" s="74">
        <f t="shared" si="4"/>
        <v>2598.3172419903653</v>
      </c>
      <c r="J36" s="4"/>
    </row>
    <row r="37" spans="1:10" ht="13.5" thickBot="1">
      <c r="A37" s="170" t="s">
        <v>62</v>
      </c>
      <c r="B37" s="171"/>
      <c r="C37" s="172"/>
      <c r="D37" s="74">
        <f>'Pryse + Sensatiwiteitsanalise'!B4</f>
        <v>2700</v>
      </c>
      <c r="E37" s="74">
        <f>$D$37</f>
        <v>2700</v>
      </c>
      <c r="F37" s="74">
        <f>$D$37</f>
        <v>2700</v>
      </c>
      <c r="G37" s="74">
        <f>$D$37</f>
        <v>2700</v>
      </c>
      <c r="H37" s="74">
        <f>$D$37</f>
        <v>2700</v>
      </c>
      <c r="I37" s="74">
        <f>$D$37</f>
        <v>2700</v>
      </c>
      <c r="J37" s="17"/>
    </row>
    <row r="38" spans="4:10" ht="12.75">
      <c r="D38" s="76"/>
      <c r="E38" s="76"/>
      <c r="F38" s="76"/>
      <c r="G38" s="76"/>
      <c r="H38" s="76"/>
      <c r="I38" s="76"/>
      <c r="J38" s="4"/>
    </row>
    <row r="39" spans="1:10" ht="13.5" thickBot="1">
      <c r="A39" s="4"/>
      <c r="B39" s="30"/>
      <c r="C39" s="4"/>
      <c r="D39" s="4"/>
      <c r="E39" s="4"/>
      <c r="F39" s="4"/>
      <c r="G39" s="4"/>
      <c r="H39" s="4"/>
      <c r="I39" s="17"/>
      <c r="J39" s="4"/>
    </row>
    <row r="40" spans="1:10" ht="12.75">
      <c r="A40" s="1" t="s">
        <v>0</v>
      </c>
      <c r="B40" s="31"/>
      <c r="C40" s="32"/>
      <c r="D40" s="32"/>
      <c r="E40" s="32"/>
      <c r="F40" s="32"/>
      <c r="G40" s="32"/>
      <c r="H40" s="33"/>
      <c r="I40" s="17"/>
      <c r="J40" s="4"/>
    </row>
    <row r="41" spans="1:10" ht="12.75">
      <c r="A41" s="34" t="s">
        <v>2</v>
      </c>
      <c r="B41" s="35"/>
      <c r="C41" s="36"/>
      <c r="D41" s="37"/>
      <c r="E41" s="37"/>
      <c r="F41" s="37"/>
      <c r="G41" s="37"/>
      <c r="H41" s="38"/>
      <c r="I41" s="17"/>
      <c r="J41" s="4"/>
    </row>
    <row r="42" spans="1:10" ht="13.5" thickBot="1">
      <c r="A42" s="39" t="s">
        <v>1</v>
      </c>
      <c r="B42" s="40"/>
      <c r="C42" s="41"/>
      <c r="D42" s="41"/>
      <c r="E42" s="41"/>
      <c r="F42" s="41"/>
      <c r="G42" s="42"/>
      <c r="H42" s="43"/>
      <c r="I42" s="17"/>
      <c r="J42" s="4"/>
    </row>
    <row r="43" spans="1:10" ht="13.5" thickBot="1">
      <c r="A43" s="44"/>
      <c r="B43" s="12"/>
      <c r="C43" s="45" t="s">
        <v>3</v>
      </c>
      <c r="D43" s="46"/>
      <c r="E43" s="46"/>
      <c r="F43" s="46"/>
      <c r="G43" s="47"/>
      <c r="H43" s="48"/>
      <c r="I43" s="17"/>
      <c r="J43" s="4"/>
    </row>
    <row r="44" spans="1:10" ht="13.5" thickBot="1">
      <c r="A44" s="5"/>
      <c r="B44" s="30"/>
      <c r="C44" s="4"/>
      <c r="D44" s="4"/>
      <c r="E44" s="4"/>
      <c r="F44" s="4"/>
      <c r="G44" s="4"/>
      <c r="H44" s="49"/>
      <c r="I44" s="17"/>
      <c r="J44" s="4"/>
    </row>
    <row r="45" spans="1:10" ht="13.5" thickBot="1">
      <c r="A45" s="5"/>
      <c r="B45" s="50"/>
      <c r="C45" s="51">
        <v>2650</v>
      </c>
      <c r="D45" s="51">
        <v>2750</v>
      </c>
      <c r="E45" s="52">
        <v>2850</v>
      </c>
      <c r="F45" s="51">
        <v>2950</v>
      </c>
      <c r="G45" s="53">
        <v>3050</v>
      </c>
      <c r="H45" s="49"/>
      <c r="I45" s="17"/>
      <c r="J45" s="4"/>
    </row>
    <row r="46" spans="1:10" ht="12.75">
      <c r="A46" s="5"/>
      <c r="B46" s="54">
        <v>11</v>
      </c>
      <c r="C46" s="55">
        <v>-3395.0889805629486</v>
      </c>
      <c r="D46" s="56">
        <v>-2295.0889805629486</v>
      </c>
      <c r="E46" s="56">
        <v>-1195.0889805629486</v>
      </c>
      <c r="F46" s="56">
        <v>-95.08898056294856</v>
      </c>
      <c r="G46" s="57">
        <v>1004.9110194370514</v>
      </c>
      <c r="H46" s="49"/>
      <c r="I46" s="17"/>
      <c r="J46" s="4"/>
    </row>
    <row r="47" spans="1:10" ht="12.75">
      <c r="A47" s="5"/>
      <c r="B47" s="58"/>
      <c r="C47" s="59"/>
      <c r="D47" s="18"/>
      <c r="E47" s="18"/>
      <c r="F47" s="18"/>
      <c r="G47" s="60"/>
      <c r="H47" s="49"/>
      <c r="I47" s="17"/>
      <c r="J47" s="4"/>
    </row>
    <row r="48" spans="1:10" ht="12.75">
      <c r="A48" s="5"/>
      <c r="B48" s="54">
        <v>12</v>
      </c>
      <c r="C48" s="59">
        <v>-1246.1647131506688</v>
      </c>
      <c r="D48" s="18">
        <v>-46.16471315066883</v>
      </c>
      <c r="E48" s="18">
        <v>1153.8352868493312</v>
      </c>
      <c r="F48" s="18">
        <v>2353.835286849331</v>
      </c>
      <c r="G48" s="60">
        <v>3553.835286849331</v>
      </c>
      <c r="H48" s="49"/>
      <c r="I48" s="17"/>
      <c r="J48" s="4"/>
    </row>
    <row r="49" spans="1:10" ht="13.5" thickBot="1">
      <c r="A49" s="61"/>
      <c r="B49" s="58"/>
      <c r="C49" s="59"/>
      <c r="D49" s="18"/>
      <c r="E49" s="18"/>
      <c r="F49" s="18"/>
      <c r="G49" s="60"/>
      <c r="H49" s="49"/>
      <c r="I49" s="17"/>
      <c r="J49" s="4"/>
    </row>
    <row r="50" spans="1:10" ht="13.5" thickBot="1">
      <c r="A50" s="62" t="s">
        <v>5</v>
      </c>
      <c r="B50" s="63">
        <v>13</v>
      </c>
      <c r="C50" s="59">
        <v>861.9571759721366</v>
      </c>
      <c r="D50" s="18">
        <v>2161.9571759721366</v>
      </c>
      <c r="E50" s="64">
        <v>3461.9571759721366</v>
      </c>
      <c r="F50" s="18">
        <v>4761.957175972137</v>
      </c>
      <c r="G50" s="60">
        <v>6061.957175972137</v>
      </c>
      <c r="H50" s="49"/>
      <c r="I50" s="17"/>
      <c r="J50" s="4"/>
    </row>
    <row r="51" spans="1:10" ht="12.75">
      <c r="A51" s="5"/>
      <c r="B51" s="58"/>
      <c r="C51" s="59"/>
      <c r="D51" s="18"/>
      <c r="E51" s="18"/>
      <c r="F51" s="18"/>
      <c r="G51" s="60"/>
      <c r="H51" s="49"/>
      <c r="I51" s="17"/>
      <c r="J51" s="4"/>
    </row>
    <row r="52" spans="1:10" ht="12.75">
      <c r="A52" s="5"/>
      <c r="B52" s="54">
        <v>14</v>
      </c>
      <c r="C52" s="59">
        <v>3378.102847989685</v>
      </c>
      <c r="D52" s="18">
        <v>4778.102847989685</v>
      </c>
      <c r="E52" s="18">
        <v>6178.102847989685</v>
      </c>
      <c r="F52" s="18">
        <v>7578.102847989685</v>
      </c>
      <c r="G52" s="60">
        <v>8978.102847989685</v>
      </c>
      <c r="H52" s="49"/>
      <c r="I52" s="17"/>
      <c r="J52" s="4"/>
    </row>
    <row r="53" spans="1:10" ht="12.75">
      <c r="A53" s="5"/>
      <c r="B53" s="58"/>
      <c r="C53" s="59"/>
      <c r="D53" s="18"/>
      <c r="E53" s="18"/>
      <c r="F53" s="18"/>
      <c r="G53" s="60"/>
      <c r="H53" s="49"/>
      <c r="I53" s="17"/>
      <c r="J53" s="4"/>
    </row>
    <row r="54" spans="1:10" ht="12.75">
      <c r="A54" s="5"/>
      <c r="B54" s="54">
        <v>15</v>
      </c>
      <c r="C54" s="59">
        <v>4359.604617320823</v>
      </c>
      <c r="D54" s="18">
        <v>5859.604617320823</v>
      </c>
      <c r="E54" s="18">
        <v>7359.604617320823</v>
      </c>
      <c r="F54" s="18">
        <v>8859.604617320823</v>
      </c>
      <c r="G54" s="60">
        <v>10359.604617320823</v>
      </c>
      <c r="H54" s="49"/>
      <c r="I54" s="17"/>
      <c r="J54" s="4"/>
    </row>
    <row r="55" spans="1:10" ht="12.75">
      <c r="A55" s="5"/>
      <c r="B55" s="58"/>
      <c r="C55" s="59"/>
      <c r="D55" s="18"/>
      <c r="E55" s="18"/>
      <c r="F55" s="18"/>
      <c r="G55" s="60"/>
      <c r="H55" s="49"/>
      <c r="I55" s="17"/>
      <c r="J55" s="4"/>
    </row>
    <row r="56" spans="1:10" ht="13.5" thickBot="1">
      <c r="A56" s="5"/>
      <c r="B56" s="65">
        <v>16</v>
      </c>
      <c r="C56" s="66">
        <v>6426.9241281541545</v>
      </c>
      <c r="D56" s="67">
        <v>8026.9241281541545</v>
      </c>
      <c r="E56" s="67">
        <v>9626.924128154154</v>
      </c>
      <c r="F56" s="67">
        <v>11226.924128154154</v>
      </c>
      <c r="G56" s="68">
        <v>12826.924128154154</v>
      </c>
      <c r="H56" s="49"/>
      <c r="I56" s="17"/>
      <c r="J56" s="4"/>
    </row>
    <row r="57" spans="1:10" ht="13.5" thickBot="1">
      <c r="A57" s="69"/>
      <c r="B57" s="14"/>
      <c r="C57" s="14"/>
      <c r="D57" s="14"/>
      <c r="E57" s="14"/>
      <c r="F57" s="14"/>
      <c r="G57" s="14"/>
      <c r="H57" s="6"/>
      <c r="J57" s="4"/>
    </row>
    <row r="58" spans="1:10" ht="12.75">
      <c r="A58" s="160" t="s">
        <v>31</v>
      </c>
      <c r="B58" s="162"/>
      <c r="C58" s="162"/>
      <c r="D58" s="162"/>
      <c r="E58" s="162"/>
      <c r="F58" s="162"/>
      <c r="G58" s="162"/>
      <c r="H58" s="163"/>
      <c r="I58" s="91"/>
      <c r="J58" s="91"/>
    </row>
    <row r="59" spans="1:10" ht="12.75">
      <c r="A59" s="159" t="s">
        <v>28</v>
      </c>
      <c r="B59" s="165"/>
      <c r="C59" s="165"/>
      <c r="D59" s="165"/>
      <c r="E59" s="165"/>
      <c r="F59" s="165"/>
      <c r="G59" s="165"/>
      <c r="H59" s="166"/>
      <c r="I59" s="91"/>
      <c r="J59" s="91"/>
    </row>
    <row r="60" spans="1:10" ht="13.5" thickBot="1">
      <c r="A60" s="158" t="s">
        <v>29</v>
      </c>
      <c r="B60" s="168"/>
      <c r="C60" s="168"/>
      <c r="D60" s="168"/>
      <c r="E60" s="168"/>
      <c r="F60" s="168"/>
      <c r="G60" s="168"/>
      <c r="H60" s="169"/>
      <c r="I60" s="91"/>
      <c r="J60" s="91"/>
    </row>
    <row r="61" spans="1:10" ht="12.75">
      <c r="A61" s="213" t="s">
        <v>30</v>
      </c>
      <c r="B61" s="214"/>
      <c r="C61" s="214"/>
      <c r="D61" s="214"/>
      <c r="E61" s="214"/>
      <c r="F61" s="214"/>
      <c r="G61" s="214"/>
      <c r="H61" s="215"/>
      <c r="I61"/>
      <c r="J61"/>
    </row>
    <row r="62" spans="1:10" ht="12.75">
      <c r="A62" s="216"/>
      <c r="B62" s="217"/>
      <c r="C62" s="217"/>
      <c r="D62" s="217"/>
      <c r="E62" s="217"/>
      <c r="F62" s="217"/>
      <c r="G62" s="217"/>
      <c r="H62" s="218"/>
      <c r="I62"/>
      <c r="J62"/>
    </row>
    <row r="63" spans="1:10" ht="12.75">
      <c r="A63" s="216"/>
      <c r="B63" s="217"/>
      <c r="C63" s="217"/>
      <c r="D63" s="217"/>
      <c r="E63" s="217"/>
      <c r="F63" s="217"/>
      <c r="G63" s="217"/>
      <c r="H63" s="218"/>
      <c r="I63"/>
      <c r="J63"/>
    </row>
    <row r="64" spans="1:10" ht="13.5" thickBot="1">
      <c r="A64" s="219"/>
      <c r="B64" s="220"/>
      <c r="C64" s="220"/>
      <c r="D64" s="220"/>
      <c r="E64" s="220"/>
      <c r="F64" s="220"/>
      <c r="G64" s="220"/>
      <c r="H64" s="221"/>
      <c r="I64"/>
      <c r="J64"/>
    </row>
  </sheetData>
  <sheetProtection/>
  <mergeCells count="11">
    <mergeCell ref="A26:C26"/>
    <mergeCell ref="A28:C28"/>
    <mergeCell ref="A30:C30"/>
    <mergeCell ref="S7:U7"/>
    <mergeCell ref="A61:H64"/>
    <mergeCell ref="A1:D1"/>
    <mergeCell ref="E1:G1"/>
    <mergeCell ref="A32:C32"/>
    <mergeCell ref="A36:C36"/>
    <mergeCell ref="A3:C3"/>
    <mergeCell ref="A8:C8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scale="77" r:id="rId2"/>
  <headerFooter alignWithMargins="0">
    <oddHeader>&amp;C&amp;F</oddHeader>
    <oddFooter>&amp;C&amp;A&amp;RPage &amp;P</oddFooter>
  </headerFooter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70" zoomScaleNormal="70" zoomScaleSheetLayoutView="70" workbookViewId="0" topLeftCell="A1">
      <selection activeCell="A1" sqref="A1:D1"/>
    </sheetView>
  </sheetViews>
  <sheetFormatPr defaultColWidth="9.140625" defaultRowHeight="12.75"/>
  <cols>
    <col min="1" max="1" width="41.7109375" style="2" customWidth="1"/>
    <col min="2" max="2" width="15.7109375" style="2" bestFit="1" customWidth="1"/>
    <col min="3" max="4" width="14.421875" style="2" customWidth="1"/>
    <col min="5" max="9" width="14.28125" style="2" customWidth="1"/>
    <col min="10" max="10" width="14.421875" style="2" customWidth="1"/>
    <col min="11" max="21" width="12.7109375" style="2" hidden="1" customWidth="1"/>
    <col min="22" max="26" width="12.7109375" style="2" customWidth="1"/>
    <col min="27" max="16384" width="9.140625" style="2" customWidth="1"/>
  </cols>
  <sheetData>
    <row r="1" spans="1:11" ht="33" customHeight="1" thickBot="1">
      <c r="A1" s="222" t="s">
        <v>33</v>
      </c>
      <c r="B1" s="223"/>
      <c r="C1" s="223"/>
      <c r="D1" s="223"/>
      <c r="E1" s="224" t="s">
        <v>34</v>
      </c>
      <c r="F1" s="224"/>
      <c r="G1" s="224"/>
      <c r="H1" s="3"/>
      <c r="I1" s="19"/>
      <c r="J1" s="17"/>
      <c r="K1" s="17"/>
    </row>
    <row r="2" spans="1:11" ht="16.5" thickBot="1">
      <c r="A2" s="20"/>
      <c r="B2" s="21"/>
      <c r="C2" s="22"/>
      <c r="D2" s="22"/>
      <c r="E2" s="14"/>
      <c r="F2" s="14"/>
      <c r="G2" s="14"/>
      <c r="H2" s="14"/>
      <c r="I2" s="6"/>
      <c r="J2" s="4"/>
      <c r="K2" s="17"/>
    </row>
    <row r="3" spans="1:11" ht="27" customHeight="1" thickBot="1">
      <c r="A3" s="227" t="s">
        <v>35</v>
      </c>
      <c r="B3" s="225"/>
      <c r="C3" s="225"/>
      <c r="D3" s="7"/>
      <c r="E3" s="190">
        <f>'Pryse + Sensatiwiteitsanalise'!B31</f>
        <v>6141</v>
      </c>
      <c r="F3" s="7" t="s">
        <v>4</v>
      </c>
      <c r="G3" s="23"/>
      <c r="H3" s="23"/>
      <c r="I3" s="8"/>
      <c r="K3" s="17"/>
    </row>
    <row r="4" spans="1:11" ht="13.5" thickBot="1">
      <c r="A4" s="173"/>
      <c r="B4" s="174"/>
      <c r="C4" s="174"/>
      <c r="D4" s="9"/>
      <c r="E4" s="13"/>
      <c r="F4" s="24"/>
      <c r="G4" s="10"/>
      <c r="H4" s="25"/>
      <c r="I4" s="25"/>
      <c r="J4" s="4"/>
      <c r="K4" s="17"/>
    </row>
    <row r="5" spans="1:11" ht="13.5" thickBot="1">
      <c r="A5" s="173" t="s">
        <v>36</v>
      </c>
      <c r="B5" s="174"/>
      <c r="C5" s="174"/>
      <c r="D5" s="26">
        <v>2.5</v>
      </c>
      <c r="E5" s="26">
        <v>3</v>
      </c>
      <c r="F5" s="26">
        <v>3.5</v>
      </c>
      <c r="G5" s="26">
        <v>4</v>
      </c>
      <c r="H5" s="26">
        <v>4.5</v>
      </c>
      <c r="I5" s="26">
        <v>5</v>
      </c>
      <c r="J5" s="4"/>
      <c r="K5" s="17"/>
    </row>
    <row r="6" spans="1:11" ht="13.5" thickBot="1">
      <c r="A6" s="175" t="s">
        <v>37</v>
      </c>
      <c r="B6" s="176"/>
      <c r="C6" s="181"/>
      <c r="D6" s="11">
        <f aca="true" t="shared" si="0" ref="D6:I6">$E$3*D5</f>
        <v>15352.5</v>
      </c>
      <c r="E6" s="11">
        <f t="shared" si="0"/>
        <v>18423</v>
      </c>
      <c r="F6" s="11">
        <f t="shared" si="0"/>
        <v>21493.5</v>
      </c>
      <c r="G6" s="11">
        <f t="shared" si="0"/>
        <v>24564</v>
      </c>
      <c r="H6" s="11">
        <f t="shared" si="0"/>
        <v>27634.5</v>
      </c>
      <c r="I6" s="11">
        <f t="shared" si="0"/>
        <v>30705</v>
      </c>
      <c r="J6" s="4"/>
      <c r="K6" s="17"/>
    </row>
    <row r="7" spans="1:21" ht="15.75" thickBot="1">
      <c r="A7" s="178"/>
      <c r="B7" s="179"/>
      <c r="C7" s="179"/>
      <c r="D7" s="27"/>
      <c r="E7" s="27"/>
      <c r="F7" s="27"/>
      <c r="G7" s="27"/>
      <c r="H7" s="27"/>
      <c r="I7" s="27"/>
      <c r="J7" s="4"/>
      <c r="K7" s="17"/>
      <c r="S7" s="212" t="s">
        <v>74</v>
      </c>
      <c r="T7" s="212"/>
      <c r="U7" s="212"/>
    </row>
    <row r="8" spans="1:21" ht="15.75" thickBot="1">
      <c r="A8" s="228" t="s">
        <v>38</v>
      </c>
      <c r="B8" s="229"/>
      <c r="C8" s="230"/>
      <c r="D8" s="28"/>
      <c r="E8" s="28"/>
      <c r="F8" s="28"/>
      <c r="G8" s="28"/>
      <c r="H8" s="28"/>
      <c r="I8" s="28"/>
      <c r="J8" s="4"/>
      <c r="K8" s="17"/>
      <c r="S8" s="193" t="s">
        <v>71</v>
      </c>
      <c r="T8" s="193" t="s">
        <v>72</v>
      </c>
      <c r="U8" s="193" t="s">
        <v>73</v>
      </c>
    </row>
    <row r="9" spans="1:21" ht="15">
      <c r="A9" s="182" t="s">
        <v>39</v>
      </c>
      <c r="B9" s="183"/>
      <c r="C9" s="183"/>
      <c r="D9" s="70">
        <v>1709.6625</v>
      </c>
      <c r="E9" s="70">
        <v>1802.6399999999999</v>
      </c>
      <c r="F9" s="70">
        <v>1895.6175</v>
      </c>
      <c r="G9" s="70">
        <v>1988.595</v>
      </c>
      <c r="H9" s="70">
        <v>2174.55</v>
      </c>
      <c r="I9" s="70">
        <v>2360.505</v>
      </c>
      <c r="J9" s="4"/>
      <c r="K9" s="17"/>
      <c r="S9" s="194">
        <f>D5</f>
        <v>2.5</v>
      </c>
      <c r="T9" s="194">
        <f>D26</f>
        <v>13276.458693401284</v>
      </c>
      <c r="U9" s="194">
        <f>D28</f>
        <v>6689.79177450023</v>
      </c>
    </row>
    <row r="10" spans="1:21" ht="15">
      <c r="A10" s="177" t="s">
        <v>40</v>
      </c>
      <c r="B10" s="180"/>
      <c r="C10" s="180"/>
      <c r="D10" s="71">
        <v>3779.45</v>
      </c>
      <c r="E10" s="71">
        <v>4154.9</v>
      </c>
      <c r="F10" s="71">
        <v>4530.35</v>
      </c>
      <c r="G10" s="71">
        <v>4905.8</v>
      </c>
      <c r="H10" s="71">
        <v>5281.25</v>
      </c>
      <c r="I10" s="71">
        <v>5656.7</v>
      </c>
      <c r="J10" s="4"/>
      <c r="K10" s="17"/>
      <c r="S10" s="194">
        <f>E5</f>
        <v>3</v>
      </c>
      <c r="T10" s="194">
        <f>E26</f>
        <v>14346.172110173302</v>
      </c>
      <c r="U10" s="194">
        <f>E28</f>
        <v>6689.79177450023</v>
      </c>
    </row>
    <row r="11" spans="1:21" ht="15">
      <c r="A11" s="177" t="s">
        <v>41</v>
      </c>
      <c r="B11" s="180"/>
      <c r="C11" s="180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4"/>
      <c r="K11" s="17"/>
      <c r="S11" s="194">
        <f>F5</f>
        <v>3.5</v>
      </c>
      <c r="T11" s="194">
        <f>F26</f>
        <v>15455.458508937812</v>
      </c>
      <c r="U11" s="194">
        <f>F28</f>
        <v>6689.79177450023</v>
      </c>
    </row>
    <row r="12" spans="1:21" ht="15">
      <c r="A12" s="177" t="s">
        <v>42</v>
      </c>
      <c r="B12" s="180"/>
      <c r="C12" s="180"/>
      <c r="D12" s="71">
        <v>409.89664999999997</v>
      </c>
      <c r="E12" s="71">
        <v>426.8169</v>
      </c>
      <c r="F12" s="71">
        <v>443.73715</v>
      </c>
      <c r="G12" s="71">
        <v>460.6574</v>
      </c>
      <c r="H12" s="71">
        <v>477.57765</v>
      </c>
      <c r="I12" s="71">
        <v>494.4979</v>
      </c>
      <c r="J12" s="4"/>
      <c r="K12" s="17"/>
      <c r="S12" s="194">
        <f>G5</f>
        <v>4</v>
      </c>
      <c r="T12" s="194">
        <f>G26</f>
        <v>16169.015087777425</v>
      </c>
      <c r="U12" s="194">
        <f>G28</f>
        <v>6689.79177450023</v>
      </c>
    </row>
    <row r="13" spans="1:21" ht="15">
      <c r="A13" s="177" t="s">
        <v>43</v>
      </c>
      <c r="B13" s="180"/>
      <c r="C13" s="180"/>
      <c r="D13" s="71">
        <v>347.375</v>
      </c>
      <c r="E13" s="71">
        <v>350.44</v>
      </c>
      <c r="F13" s="71">
        <v>353.505</v>
      </c>
      <c r="G13" s="71">
        <v>356.57000000000005</v>
      </c>
      <c r="H13" s="71">
        <v>359.635</v>
      </c>
      <c r="I13" s="71">
        <v>362.70000000000005</v>
      </c>
      <c r="J13" s="4"/>
      <c r="K13" s="17"/>
      <c r="S13" s="194">
        <f>H5</f>
        <v>4.5</v>
      </c>
      <c r="T13" s="194">
        <f>H26</f>
        <v>16667.176116805742</v>
      </c>
      <c r="U13" s="194">
        <f>H28</f>
        <v>6689.79177450023</v>
      </c>
    </row>
    <row r="14" spans="1:21" ht="15">
      <c r="A14" s="177" t="s">
        <v>44</v>
      </c>
      <c r="B14" s="180"/>
      <c r="C14" s="180"/>
      <c r="D14" s="71">
        <v>435</v>
      </c>
      <c r="E14" s="71">
        <v>435</v>
      </c>
      <c r="F14" s="71">
        <v>435</v>
      </c>
      <c r="G14" s="71">
        <v>435</v>
      </c>
      <c r="H14" s="71">
        <v>435</v>
      </c>
      <c r="I14" s="71">
        <v>435</v>
      </c>
      <c r="J14" s="4"/>
      <c r="K14" s="17"/>
      <c r="S14" s="194">
        <f>I5</f>
        <v>5</v>
      </c>
      <c r="T14" s="194">
        <f>I26</f>
        <v>18630.30217486038</v>
      </c>
      <c r="U14" s="194">
        <f>I28</f>
        <v>6689.79177450023</v>
      </c>
    </row>
    <row r="15" spans="1:11" ht="12.75">
      <c r="A15" s="177" t="s">
        <v>45</v>
      </c>
      <c r="B15" s="180"/>
      <c r="C15" s="180"/>
      <c r="D15" s="71">
        <v>1288.75</v>
      </c>
      <c r="E15" s="71">
        <v>1288.75</v>
      </c>
      <c r="F15" s="71">
        <v>1288.75</v>
      </c>
      <c r="G15" s="71">
        <v>1288.75</v>
      </c>
      <c r="H15" s="71">
        <v>636.3499999999999</v>
      </c>
      <c r="I15" s="71">
        <v>1288.75</v>
      </c>
      <c r="J15" s="4"/>
      <c r="K15" s="17"/>
    </row>
    <row r="16" spans="1:11" ht="12.75">
      <c r="A16" s="177" t="s">
        <v>46</v>
      </c>
      <c r="B16" s="180"/>
      <c r="C16" s="180"/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4"/>
      <c r="K16" s="17"/>
    </row>
    <row r="17" spans="1:11" ht="12.75">
      <c r="A17" s="177" t="s">
        <v>47</v>
      </c>
      <c r="B17" s="180"/>
      <c r="C17" s="180"/>
      <c r="D17" s="71">
        <v>3359.225</v>
      </c>
      <c r="E17" s="71">
        <v>3685.25</v>
      </c>
      <c r="F17" s="71">
        <v>4047.5</v>
      </c>
      <c r="G17" s="71">
        <v>4047.5</v>
      </c>
      <c r="H17" s="71">
        <v>4409.75</v>
      </c>
      <c r="I17" s="71">
        <v>4808.225000000001</v>
      </c>
      <c r="J17" s="4"/>
      <c r="K17" s="17"/>
    </row>
    <row r="18" spans="1:11" ht="12.75">
      <c r="A18" s="177" t="s">
        <v>48</v>
      </c>
      <c r="B18" s="180"/>
      <c r="C18" s="180"/>
      <c r="D18" s="71">
        <v>460.97838529813384</v>
      </c>
      <c r="E18" s="71">
        <v>498.1204255803367</v>
      </c>
      <c r="F18" s="71">
        <v>536.6364986345015</v>
      </c>
      <c r="G18" s="71">
        <v>561.4122439690486</v>
      </c>
      <c r="H18" s="71">
        <v>578.7091355636475</v>
      </c>
      <c r="I18" s="71">
        <v>646.8717910787439</v>
      </c>
      <c r="J18" s="4"/>
      <c r="K18" s="17"/>
    </row>
    <row r="19" spans="1:11" ht="12.75">
      <c r="A19" s="177" t="s">
        <v>49</v>
      </c>
      <c r="B19" s="180"/>
      <c r="C19" s="180"/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4"/>
      <c r="K19" s="17"/>
    </row>
    <row r="20" spans="1:11" ht="12.75">
      <c r="A20" s="177" t="s">
        <v>50</v>
      </c>
      <c r="B20" s="180"/>
      <c r="C20" s="180"/>
      <c r="D20" s="71">
        <v>823.875</v>
      </c>
      <c r="E20" s="71">
        <v>988.6500000000001</v>
      </c>
      <c r="F20" s="71">
        <v>1153.425</v>
      </c>
      <c r="G20" s="71">
        <v>1318.2</v>
      </c>
      <c r="H20" s="71">
        <v>1482.9750000000001</v>
      </c>
      <c r="I20" s="71">
        <v>1647.75</v>
      </c>
      <c r="J20" s="4"/>
      <c r="K20" s="17"/>
    </row>
    <row r="21" spans="1:11" ht="12.75">
      <c r="A21" s="177" t="s">
        <v>51</v>
      </c>
      <c r="B21" s="180"/>
      <c r="C21" s="180"/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4"/>
      <c r="K21" s="17"/>
    </row>
    <row r="22" spans="1:11" s="16" customFormat="1" ht="12.75">
      <c r="A22" s="177" t="s">
        <v>52</v>
      </c>
      <c r="B22" s="180"/>
      <c r="C22" s="180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4"/>
      <c r="K22" s="15"/>
    </row>
    <row r="23" spans="1:11" s="16" customFormat="1" ht="12.75">
      <c r="A23" s="177" t="s">
        <v>53</v>
      </c>
      <c r="B23" s="180"/>
      <c r="C23" s="180"/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4"/>
      <c r="K23" s="15"/>
    </row>
    <row r="24" spans="1:11" s="16" customFormat="1" ht="12.75">
      <c r="A24" s="177" t="s">
        <v>54</v>
      </c>
      <c r="B24" s="180"/>
      <c r="C24" s="180"/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4"/>
      <c r="K24" s="15"/>
    </row>
    <row r="25" spans="1:11" s="16" customFormat="1" ht="13.5" thickBot="1">
      <c r="A25" s="177" t="s">
        <v>55</v>
      </c>
      <c r="B25" s="180"/>
      <c r="C25" s="180"/>
      <c r="D25" s="71">
        <v>662.246158103152</v>
      </c>
      <c r="E25" s="71">
        <v>715.6047845929675</v>
      </c>
      <c r="F25" s="71">
        <v>770.9373603033113</v>
      </c>
      <c r="G25" s="71">
        <v>806.5304438083753</v>
      </c>
      <c r="H25" s="71">
        <v>831.3793312420916</v>
      </c>
      <c r="I25" s="71">
        <v>929.3024837816341</v>
      </c>
      <c r="J25" s="4"/>
      <c r="K25" s="15"/>
    </row>
    <row r="26" spans="1:11" s="16" customFormat="1" ht="26.25" customHeight="1" thickBot="1">
      <c r="A26" s="209" t="s">
        <v>56</v>
      </c>
      <c r="B26" s="210"/>
      <c r="C26" s="211"/>
      <c r="D26" s="72">
        <f aca="true" t="shared" si="1" ref="D26:I26">SUM(D9:D25)</f>
        <v>13276.458693401284</v>
      </c>
      <c r="E26" s="72">
        <f t="shared" si="1"/>
        <v>14346.172110173302</v>
      </c>
      <c r="F26" s="72">
        <f t="shared" si="1"/>
        <v>15455.458508937812</v>
      </c>
      <c r="G26" s="72">
        <f t="shared" si="1"/>
        <v>16169.015087777425</v>
      </c>
      <c r="H26" s="72">
        <f t="shared" si="1"/>
        <v>16667.176116805742</v>
      </c>
      <c r="I26" s="72">
        <f t="shared" si="1"/>
        <v>18630.30217486038</v>
      </c>
      <c r="J26" s="4"/>
      <c r="K26" s="15"/>
    </row>
    <row r="27" spans="1:11" s="16" customFormat="1" ht="13.5" thickBot="1">
      <c r="A27" s="184"/>
      <c r="B27" s="185"/>
      <c r="C27" s="185"/>
      <c r="D27" s="73"/>
      <c r="E27" s="73"/>
      <c r="F27" s="73"/>
      <c r="G27" s="73"/>
      <c r="H27" s="73"/>
      <c r="I27" s="73"/>
      <c r="J27" s="4"/>
      <c r="K27" s="15"/>
    </row>
    <row r="28" spans="1:11" ht="13.5" thickBot="1">
      <c r="A28" s="206" t="s">
        <v>57</v>
      </c>
      <c r="B28" s="207"/>
      <c r="C28" s="208"/>
      <c r="D28" s="72">
        <v>6689.79177450023</v>
      </c>
      <c r="E28" s="72">
        <v>6689.79177450023</v>
      </c>
      <c r="F28" s="72">
        <v>6689.79177450023</v>
      </c>
      <c r="G28" s="72">
        <v>6689.79177450023</v>
      </c>
      <c r="H28" s="72">
        <v>6689.79177450023</v>
      </c>
      <c r="I28" s="72">
        <v>6689.79177450023</v>
      </c>
      <c r="J28" s="29"/>
      <c r="K28" s="4"/>
    </row>
    <row r="29" spans="1:11" ht="13.5" thickBot="1">
      <c r="A29" s="184"/>
      <c r="B29" s="185"/>
      <c r="C29" s="185"/>
      <c r="D29" s="73"/>
      <c r="E29" s="73"/>
      <c r="F29" s="73"/>
      <c r="G29" s="73"/>
      <c r="H29" s="73"/>
      <c r="I29" s="73"/>
      <c r="J29" s="4"/>
      <c r="K29" s="17"/>
    </row>
    <row r="30" spans="1:11" ht="26.25" customHeight="1" thickBot="1">
      <c r="A30" s="209" t="s">
        <v>58</v>
      </c>
      <c r="B30" s="210"/>
      <c r="C30" s="211"/>
      <c r="D30" s="72">
        <f aca="true" t="shared" si="2" ref="D30:I30">D26+D28</f>
        <v>19966.250467901515</v>
      </c>
      <c r="E30" s="72">
        <f t="shared" si="2"/>
        <v>21035.963884673532</v>
      </c>
      <c r="F30" s="72">
        <f t="shared" si="2"/>
        <v>22145.250283438043</v>
      </c>
      <c r="G30" s="72">
        <f t="shared" si="2"/>
        <v>22858.806862277655</v>
      </c>
      <c r="H30" s="72">
        <f t="shared" si="2"/>
        <v>23356.967891305972</v>
      </c>
      <c r="I30" s="72">
        <f t="shared" si="2"/>
        <v>25320.09394936061</v>
      </c>
      <c r="J30" s="4"/>
      <c r="K30" s="17"/>
    </row>
    <row r="31" spans="1:11" ht="13.5" thickBot="1">
      <c r="A31" s="178"/>
      <c r="B31" s="179"/>
      <c r="C31" s="179"/>
      <c r="D31" s="75"/>
      <c r="E31" s="75"/>
      <c r="F31" s="75"/>
      <c r="G31" s="75"/>
      <c r="H31" s="75"/>
      <c r="I31" s="75"/>
      <c r="J31" s="4"/>
      <c r="K31" s="17"/>
    </row>
    <row r="32" spans="1:11" ht="27" customHeight="1" thickBot="1">
      <c r="A32" s="209" t="s">
        <v>59</v>
      </c>
      <c r="B32" s="225"/>
      <c r="C32" s="226"/>
      <c r="D32" s="72">
        <f aca="true" t="shared" si="3" ref="D32:I32">D30/D5</f>
        <v>7986.5001871606055</v>
      </c>
      <c r="E32" s="72">
        <f t="shared" si="3"/>
        <v>7011.987961557844</v>
      </c>
      <c r="F32" s="72">
        <f t="shared" si="3"/>
        <v>6327.214366696584</v>
      </c>
      <c r="G32" s="72">
        <f t="shared" si="3"/>
        <v>5714.701715569414</v>
      </c>
      <c r="H32" s="72">
        <f t="shared" si="3"/>
        <v>5190.437309179105</v>
      </c>
      <c r="I32" s="72">
        <f t="shared" si="3"/>
        <v>5064.0187898721215</v>
      </c>
      <c r="J32" s="4"/>
      <c r="K32" s="17"/>
    </row>
    <row r="33" spans="1:11" ht="13.5" thickBot="1">
      <c r="A33" s="178"/>
      <c r="B33" s="179"/>
      <c r="C33" s="179"/>
      <c r="D33" s="75"/>
      <c r="E33" s="75"/>
      <c r="F33" s="75"/>
      <c r="G33" s="75"/>
      <c r="H33" s="75"/>
      <c r="I33" s="75"/>
      <c r="J33" s="4"/>
      <c r="K33" s="17"/>
    </row>
    <row r="34" spans="1:11" ht="13.5" thickBot="1">
      <c r="A34" s="175" t="s">
        <v>60</v>
      </c>
      <c r="B34" s="176"/>
      <c r="C34" s="176"/>
      <c r="D34" s="72">
        <f>'Pryse + Sensatiwiteitsanalise'!D5</f>
        <v>59</v>
      </c>
      <c r="E34" s="72">
        <f>'Pryse + Sensatiwiteitsanalise'!E5</f>
        <v>0</v>
      </c>
      <c r="F34" s="72">
        <f>'Pryse + Sensatiwiteitsanalise'!F5</f>
        <v>0</v>
      </c>
      <c r="G34" s="72">
        <f>'Pryse + Sensatiwiteitsanalise'!G5</f>
        <v>0</v>
      </c>
      <c r="H34" s="72">
        <f>'Pryse + Sensatiwiteitsanalise'!H5</f>
        <v>0</v>
      </c>
      <c r="I34" s="72">
        <f>'Pryse + Sensatiwiteitsanalise'!I5</f>
        <v>0</v>
      </c>
      <c r="J34" s="4"/>
      <c r="K34" s="4"/>
    </row>
    <row r="35" spans="1:11" ht="13.5" thickBot="1">
      <c r="A35" s="178"/>
      <c r="B35" s="179"/>
      <c r="C35" s="179"/>
      <c r="D35" s="75"/>
      <c r="E35" s="75"/>
      <c r="F35" s="75"/>
      <c r="G35" s="75"/>
      <c r="H35" s="75"/>
      <c r="I35" s="75"/>
      <c r="J35" s="4"/>
      <c r="K35" s="4"/>
    </row>
    <row r="36" spans="1:10" ht="13.5" thickBot="1">
      <c r="A36" s="227" t="s">
        <v>61</v>
      </c>
      <c r="B36" s="225"/>
      <c r="C36" s="226"/>
      <c r="D36" s="74">
        <f aca="true" t="shared" si="4" ref="D36:I36">D32+D34</f>
        <v>8045.5001871606055</v>
      </c>
      <c r="E36" s="74">
        <f t="shared" si="4"/>
        <v>7011.987961557844</v>
      </c>
      <c r="F36" s="74">
        <f t="shared" si="4"/>
        <v>6327.214366696584</v>
      </c>
      <c r="G36" s="74">
        <f t="shared" si="4"/>
        <v>5714.701715569414</v>
      </c>
      <c r="H36" s="74">
        <f t="shared" si="4"/>
        <v>5190.437309179105</v>
      </c>
      <c r="I36" s="74">
        <f t="shared" si="4"/>
        <v>5064.0187898721215</v>
      </c>
      <c r="J36" s="4"/>
    </row>
    <row r="37" spans="1:10" ht="13.5" thickBot="1">
      <c r="A37" s="170" t="s">
        <v>62</v>
      </c>
      <c r="B37" s="171"/>
      <c r="C37" s="172"/>
      <c r="D37" s="74">
        <f>'Pryse + Sensatiwiteitsanalise'!B5</f>
        <v>6200</v>
      </c>
      <c r="E37" s="74">
        <f>$D$37</f>
        <v>6200</v>
      </c>
      <c r="F37" s="74">
        <f>$D$37</f>
        <v>6200</v>
      </c>
      <c r="G37" s="74">
        <f>$D$37</f>
        <v>6200</v>
      </c>
      <c r="H37" s="74">
        <f>$D$37</f>
        <v>6200</v>
      </c>
      <c r="I37" s="74">
        <f>$D$37</f>
        <v>6200</v>
      </c>
      <c r="J37" s="17"/>
    </row>
    <row r="38" spans="4:10" ht="12.75">
      <c r="D38" s="77"/>
      <c r="E38" s="77"/>
      <c r="F38" s="77"/>
      <c r="G38" s="77"/>
      <c r="H38" s="77"/>
      <c r="I38" s="77"/>
      <c r="J38" s="4"/>
    </row>
    <row r="39" spans="1:10" ht="13.5" thickBot="1">
      <c r="A39" s="4"/>
      <c r="B39" s="30"/>
      <c r="C39" s="4"/>
      <c r="D39" s="4"/>
      <c r="E39" s="4"/>
      <c r="F39" s="4"/>
      <c r="G39" s="4"/>
      <c r="H39" s="4"/>
      <c r="I39" s="17"/>
      <c r="J39" s="4"/>
    </row>
    <row r="40" spans="1:10" ht="12.75">
      <c r="A40" s="1" t="s">
        <v>0</v>
      </c>
      <c r="B40" s="31"/>
      <c r="C40" s="32"/>
      <c r="D40" s="32"/>
      <c r="E40" s="32"/>
      <c r="F40" s="32"/>
      <c r="G40" s="32"/>
      <c r="H40" s="33"/>
      <c r="I40" s="17"/>
      <c r="J40" s="4"/>
    </row>
    <row r="41" spans="1:10" ht="12.75">
      <c r="A41" s="34" t="s">
        <v>2</v>
      </c>
      <c r="B41" s="35"/>
      <c r="C41" s="36"/>
      <c r="D41" s="37"/>
      <c r="E41" s="37"/>
      <c r="F41" s="37"/>
      <c r="G41" s="37"/>
      <c r="H41" s="38"/>
      <c r="I41" s="17"/>
      <c r="J41" s="4"/>
    </row>
    <row r="42" spans="1:10" ht="13.5" thickBot="1">
      <c r="A42" s="39" t="s">
        <v>1</v>
      </c>
      <c r="B42" s="40"/>
      <c r="C42" s="41"/>
      <c r="D42" s="41"/>
      <c r="E42" s="41"/>
      <c r="F42" s="41"/>
      <c r="G42" s="42"/>
      <c r="H42" s="43"/>
      <c r="I42" s="17"/>
      <c r="J42" s="4"/>
    </row>
    <row r="43" spans="1:10" ht="13.5" thickBot="1">
      <c r="A43" s="44"/>
      <c r="B43" s="12"/>
      <c r="C43" s="45" t="s">
        <v>3</v>
      </c>
      <c r="D43" s="46"/>
      <c r="E43" s="46"/>
      <c r="F43" s="46"/>
      <c r="G43" s="47"/>
      <c r="H43" s="48"/>
      <c r="I43" s="17"/>
      <c r="J43" s="4"/>
    </row>
    <row r="44" spans="1:10" ht="13.5" thickBot="1">
      <c r="A44" s="5"/>
      <c r="B44" s="30"/>
      <c r="C44" s="4"/>
      <c r="D44" s="4"/>
      <c r="E44" s="4"/>
      <c r="F44" s="4"/>
      <c r="G44" s="4"/>
      <c r="H44" s="49"/>
      <c r="I44" s="17"/>
      <c r="J44" s="4"/>
    </row>
    <row r="45" spans="1:10" ht="13.5" thickBot="1">
      <c r="A45" s="5"/>
      <c r="B45" s="50"/>
      <c r="C45" s="51">
        <v>6391</v>
      </c>
      <c r="D45" s="51">
        <v>6491</v>
      </c>
      <c r="E45" s="52">
        <v>6591</v>
      </c>
      <c r="F45" s="51">
        <v>6691</v>
      </c>
      <c r="G45" s="53">
        <v>6791</v>
      </c>
      <c r="H45" s="49"/>
      <c r="I45" s="17"/>
      <c r="J45" s="4"/>
    </row>
    <row r="46" spans="1:10" ht="12.75">
      <c r="A46" s="5"/>
      <c r="B46" s="54">
        <v>2.5</v>
      </c>
      <c r="C46" s="55">
        <v>-3988.7504679015146</v>
      </c>
      <c r="D46" s="56">
        <v>-3738.7504679015146</v>
      </c>
      <c r="E46" s="56">
        <v>-3488.7504679015146</v>
      </c>
      <c r="F46" s="56">
        <v>-3238.7504679015146</v>
      </c>
      <c r="G46" s="57">
        <v>-2988.7504679015146</v>
      </c>
      <c r="H46" s="49"/>
      <c r="I46" s="17"/>
      <c r="J46" s="4"/>
    </row>
    <row r="47" spans="1:10" ht="12.75">
      <c r="A47" s="5"/>
      <c r="B47" s="58"/>
      <c r="C47" s="59"/>
      <c r="D47" s="18"/>
      <c r="E47" s="18"/>
      <c r="F47" s="18"/>
      <c r="G47" s="60"/>
      <c r="H47" s="49"/>
      <c r="I47" s="17"/>
      <c r="J47" s="4"/>
    </row>
    <row r="48" spans="1:10" ht="12.75">
      <c r="A48" s="5"/>
      <c r="B48" s="54">
        <v>3</v>
      </c>
      <c r="C48" s="59">
        <v>-1862.9638846735324</v>
      </c>
      <c r="D48" s="18">
        <v>-1562.9638846735324</v>
      </c>
      <c r="E48" s="18">
        <v>-1262.9638846735324</v>
      </c>
      <c r="F48" s="18">
        <v>-962.9638846735324</v>
      </c>
      <c r="G48" s="60">
        <v>-662.9638846735324</v>
      </c>
      <c r="H48" s="49"/>
      <c r="I48" s="17"/>
      <c r="J48" s="4"/>
    </row>
    <row r="49" spans="1:10" ht="13.5" thickBot="1">
      <c r="A49" s="61"/>
      <c r="B49" s="58"/>
      <c r="C49" s="59"/>
      <c r="D49" s="18"/>
      <c r="E49" s="18"/>
      <c r="F49" s="18"/>
      <c r="G49" s="60"/>
      <c r="H49" s="49"/>
      <c r="I49" s="17"/>
      <c r="J49" s="4"/>
    </row>
    <row r="50" spans="1:10" ht="13.5" thickBot="1">
      <c r="A50" s="62" t="s">
        <v>5</v>
      </c>
      <c r="B50" s="63">
        <v>3.5</v>
      </c>
      <c r="C50" s="59">
        <v>223.24971656195703</v>
      </c>
      <c r="D50" s="18">
        <v>573.249716561957</v>
      </c>
      <c r="E50" s="64">
        <v>923.249716561957</v>
      </c>
      <c r="F50" s="18">
        <v>1273.249716561957</v>
      </c>
      <c r="G50" s="60">
        <v>1623.249716561957</v>
      </c>
      <c r="H50" s="49"/>
      <c r="I50" s="17"/>
      <c r="J50" s="4"/>
    </row>
    <row r="51" spans="1:10" ht="12.75">
      <c r="A51" s="5"/>
      <c r="B51" s="58"/>
      <c r="C51" s="59"/>
      <c r="D51" s="18"/>
      <c r="E51" s="18"/>
      <c r="F51" s="18"/>
      <c r="G51" s="60"/>
      <c r="H51" s="49"/>
      <c r="I51" s="17"/>
      <c r="J51" s="4"/>
    </row>
    <row r="52" spans="1:10" ht="12.75">
      <c r="A52" s="5"/>
      <c r="B52" s="54">
        <v>4</v>
      </c>
      <c r="C52" s="59">
        <v>2705.1931377223445</v>
      </c>
      <c r="D52" s="18">
        <v>3105.1931377223445</v>
      </c>
      <c r="E52" s="18">
        <v>3505.1931377223445</v>
      </c>
      <c r="F52" s="18">
        <v>3905.1931377223445</v>
      </c>
      <c r="G52" s="60">
        <v>4305.1931377223445</v>
      </c>
      <c r="H52" s="49"/>
      <c r="I52" s="17"/>
      <c r="J52" s="4"/>
    </row>
    <row r="53" spans="1:10" ht="12.75">
      <c r="A53" s="5"/>
      <c r="B53" s="58"/>
      <c r="C53" s="59"/>
      <c r="D53" s="18"/>
      <c r="E53" s="18"/>
      <c r="F53" s="18"/>
      <c r="G53" s="60"/>
      <c r="H53" s="49"/>
      <c r="I53" s="17"/>
      <c r="J53" s="4"/>
    </row>
    <row r="54" spans="1:10" ht="12.75">
      <c r="A54" s="5"/>
      <c r="B54" s="54">
        <v>4.5</v>
      </c>
      <c r="C54" s="59">
        <v>5402.532108694028</v>
      </c>
      <c r="D54" s="18">
        <v>5852.532108694028</v>
      </c>
      <c r="E54" s="18">
        <v>6302.532108694028</v>
      </c>
      <c r="F54" s="18">
        <v>6752.532108694028</v>
      </c>
      <c r="G54" s="60">
        <v>7202.532108694028</v>
      </c>
      <c r="H54" s="49"/>
      <c r="I54" s="17"/>
      <c r="J54" s="4"/>
    </row>
    <row r="55" spans="1:10" ht="12.75">
      <c r="A55" s="5"/>
      <c r="B55" s="58"/>
      <c r="C55" s="59"/>
      <c r="D55" s="18"/>
      <c r="E55" s="18"/>
      <c r="F55" s="18"/>
      <c r="G55" s="60"/>
      <c r="H55" s="49"/>
      <c r="I55" s="17"/>
      <c r="J55" s="4"/>
    </row>
    <row r="56" spans="1:10" ht="13.5" thickBot="1">
      <c r="A56" s="5"/>
      <c r="B56" s="65">
        <v>5</v>
      </c>
      <c r="C56" s="66">
        <v>6634.906050639391</v>
      </c>
      <c r="D56" s="67">
        <v>7134.906050639391</v>
      </c>
      <c r="E56" s="67">
        <v>7634.906050639391</v>
      </c>
      <c r="F56" s="67">
        <v>8134.906050639391</v>
      </c>
      <c r="G56" s="68">
        <v>8634.90605063939</v>
      </c>
      <c r="H56" s="49"/>
      <c r="I56" s="17"/>
      <c r="J56" s="4"/>
    </row>
    <row r="57" spans="1:10" ht="13.5" thickBot="1">
      <c r="A57" s="69"/>
      <c r="B57" s="14"/>
      <c r="C57" s="14"/>
      <c r="D57" s="14"/>
      <c r="E57" s="14"/>
      <c r="F57" s="14"/>
      <c r="G57" s="14"/>
      <c r="H57" s="6"/>
      <c r="J57" s="4"/>
    </row>
    <row r="58" spans="1:10" ht="15">
      <c r="A58" s="161" t="s">
        <v>27</v>
      </c>
      <c r="B58" s="162"/>
      <c r="C58" s="162"/>
      <c r="D58" s="162"/>
      <c r="E58" s="162"/>
      <c r="F58" s="162"/>
      <c r="G58" s="162"/>
      <c r="H58" s="163"/>
      <c r="I58" s="91"/>
      <c r="J58" s="91"/>
    </row>
    <row r="59" spans="1:10" ht="15">
      <c r="A59" s="164" t="s">
        <v>28</v>
      </c>
      <c r="B59" s="165"/>
      <c r="C59" s="165"/>
      <c r="D59" s="165"/>
      <c r="E59" s="165"/>
      <c r="F59" s="165"/>
      <c r="G59" s="165"/>
      <c r="H59" s="166"/>
      <c r="I59" s="91"/>
      <c r="J59" s="91"/>
    </row>
    <row r="60" spans="1:10" ht="15.75" thickBot="1">
      <c r="A60" s="167" t="s">
        <v>29</v>
      </c>
      <c r="B60" s="168"/>
      <c r="C60" s="168"/>
      <c r="D60" s="168"/>
      <c r="E60" s="168"/>
      <c r="F60" s="168"/>
      <c r="G60" s="168"/>
      <c r="H60" s="169"/>
      <c r="I60" s="91"/>
      <c r="J60" s="91"/>
    </row>
  </sheetData>
  <sheetProtection/>
  <mergeCells count="10">
    <mergeCell ref="S7:U7"/>
    <mergeCell ref="A1:D1"/>
    <mergeCell ref="E1:G1"/>
    <mergeCell ref="A32:C32"/>
    <mergeCell ref="A36:C36"/>
    <mergeCell ref="A3:C3"/>
    <mergeCell ref="A8:C8"/>
    <mergeCell ref="A26:C26"/>
    <mergeCell ref="A28:C28"/>
    <mergeCell ref="A30:C30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scale="64" r:id="rId2"/>
  <headerFooter>
    <oddHeader>&amp;C&amp;F</oddHead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Petru Fourie</cp:lastModifiedBy>
  <cp:lastPrinted>2016-07-25T08:19:03Z</cp:lastPrinted>
  <dcterms:created xsi:type="dcterms:W3CDTF">2007-01-09T12:07:13Z</dcterms:created>
  <dcterms:modified xsi:type="dcterms:W3CDTF">2016-08-01T18:53:54Z</dcterms:modified>
  <cp:category/>
  <cp:version/>
  <cp:contentType/>
  <cp:contentStatus/>
</cp:coreProperties>
</file>