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28" yWindow="65260" windowWidth="16608" windowHeight="9312" tabRatio="858" firstSheet="7" activeTab="10"/>
  </bookViews>
  <sheets>
    <sheet name="Export destin -Uitvoer bestem." sheetId="1" r:id="rId1"/>
    <sheet name="Geelmielie uitvoere" sheetId="2" r:id="rId2"/>
    <sheet name="Witmielie uitvoere" sheetId="3" r:id="rId3"/>
    <sheet name="Cumulative YM Exports" sheetId="4" r:id="rId4"/>
    <sheet name="Weeklikse uitvoere" sheetId="5" r:id="rId5"/>
    <sheet name="Cumulative WM Exports" sheetId="6" r:id="rId6"/>
    <sheet name="Cumulative Total Maize Exports" sheetId="7" r:id="rId7"/>
    <sheet name="Chart - Cum. uitvoere-exports" sheetId="8" r:id="rId8"/>
    <sheet name="Chart - Cum. invoere-impor " sheetId="9" r:id="rId9"/>
    <sheet name="Previous Weekly" sheetId="10" r:id="rId10"/>
    <sheet name="Weekliks-Weekly" sheetId="11" r:id="rId11"/>
    <sheet name="Imports from - Invoere vanaf " sheetId="12" r:id="rId12"/>
    <sheet name="Sheet1" sheetId="13" r:id="rId13"/>
    <sheet name="White Imports other countries" sheetId="14" state="hidden" r:id="rId14"/>
    <sheet name="Yellow Imports other countries" sheetId="15" state="hidden" r:id="rId15"/>
    <sheet name="White export for import" sheetId="16" state="hidden" r:id="rId16"/>
    <sheet name="Yellow export for import" sheetId="17" state="hidden" r:id="rId17"/>
    <sheet name="WM Imports per harbour" sheetId="18" state="hidden" r:id="rId18"/>
    <sheet name="YM Imports per harbour" sheetId="19" state="hidden" r:id="rId19"/>
  </sheets>
  <definedNames>
    <definedName name="_xlnm.Print_Area" localSheetId="0">'Export destin -Uitvoer bestem.'!$A$1:$M$85</definedName>
    <definedName name="_xlnm.Print_Area" localSheetId="11">'Imports from - Invoere vanaf '!$A$1:$G$25</definedName>
    <definedName name="_xlnm.Print_Area" localSheetId="9">'Previous Weekly'!$A$1:$J$59</definedName>
    <definedName name="_xlnm.Print_Area" localSheetId="10">'Weekliks-Weekly'!$A$1:$J$59</definedName>
  </definedNames>
  <calcPr fullCalcOnLoad="1"/>
</workbook>
</file>

<file path=xl/sharedStrings.xml><?xml version="1.0" encoding="utf-8"?>
<sst xmlns="http://schemas.openxmlformats.org/spreadsheetml/2006/main" count="635" uniqueCount="240">
  <si>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</si>
  <si>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</si>
  <si>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</si>
  <si>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</si>
  <si>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</si>
  <si>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</si>
  <si>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</si>
  <si>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</si>
  <si>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</si>
  <si>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</si>
  <si>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</si>
  <si>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</si>
  <si>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</si>
  <si>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</si>
  <si>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</si>
  <si>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</si>
  <si>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</si>
  <si>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</si>
  <si>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</si>
  <si>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</si>
  <si>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</si>
  <si>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</si>
  <si>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</si>
  <si>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</si>
  <si>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</si>
  <si>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</si>
  <si>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</t>
  </si>
  <si>
    <t>Imports</t>
  </si>
  <si>
    <t>Uitvoere</t>
  </si>
  <si>
    <t>Exports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</si>
  <si>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</si>
  <si>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</si>
  <si>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</si>
  <si>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</si>
  <si>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</si>
  <si>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</si>
  <si>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</si>
  <si>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</si>
  <si>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</si>
  <si>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</si>
  <si>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</si>
  <si>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</si>
  <si>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</si>
  <si>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</si>
  <si>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</si>
  <si>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</si>
  <si>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</si>
  <si>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</si>
  <si>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</si>
  <si>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</si>
  <si>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</si>
  <si>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</si>
  <si>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</si>
  <si>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</si>
  <si>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</si>
  <si>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</si>
  <si>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</si>
  <si>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</si>
  <si>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</si>
  <si>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</si>
  <si>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</si>
  <si>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</si>
  <si>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</si>
  <si>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</si>
  <si>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</si>
  <si>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</si>
  <si>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</si>
  <si>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</si>
  <si>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</si>
  <si>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</si>
  <si>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</si>
  <si>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</si>
  <si>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</si>
  <si>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</si>
  <si>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</si>
  <si>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</si>
  <si>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</si>
  <si>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</si>
  <si>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</si>
  <si>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</si>
  <si>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</si>
  <si>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</si>
  <si>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</si>
  <si>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</si>
  <si>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</si>
  <si>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</si>
  <si>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</si>
  <si>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</si>
  <si>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</si>
  <si>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</si>
  <si>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</si>
  <si>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</si>
  <si>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</si>
  <si>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</si>
  <si>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</si>
  <si>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</si>
  <si>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</si>
  <si>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</si>
  <si>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</si>
  <si>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</si>
  <si>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</si>
  <si>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</si>
  <si>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</si>
  <si>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</si>
  <si>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</si>
  <si>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</si>
  <si>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</si>
  <si>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</si>
  <si>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</si>
  <si>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</si>
  <si>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</si>
  <si>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</si>
  <si>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</si>
  <si>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</si>
  <si>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</si>
  <si>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</si>
  <si>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</si>
  <si>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</si>
  <si>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</si>
  <si>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</si>
  <si>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</si>
  <si>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</si>
  <si>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</si>
  <si>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</si>
  <si>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</si>
  <si>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</si>
  <si>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</si>
  <si>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>SAGIS: WEEKLIKSE INVOERE EN UITVOERE 2016/17 Bemarkingseisoen</t>
  </si>
  <si>
    <t>SAGIS: WEEKLY IMPORTS AND EXPORTS 2016/17 Marketing season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</si>
  <si>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</si>
  <si>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</si>
  <si>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</si>
  <si>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</si>
  <si>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</si>
  <si>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</si>
  <si>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</si>
  <si>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</si>
  <si>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</si>
  <si>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</si>
  <si>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</si>
  <si>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</si>
  <si>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</si>
  <si>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</si>
  <si>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</si>
  <si>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</si>
  <si>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</si>
  <si>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</si>
  <si>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</si>
  <si>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</si>
  <si>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</si>
  <si>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</si>
  <si>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</si>
  <si>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</si>
  <si>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</si>
  <si>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</si>
  <si>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</si>
  <si>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</si>
  <si>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</si>
  <si>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</si>
  <si>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</si>
  <si>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</si>
  <si>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</si>
  <si>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</si>
  <si>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</si>
  <si>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</si>
  <si>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</si>
  <si>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</si>
  <si>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</si>
  <si>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</si>
  <si>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</si>
  <si>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</si>
  <si>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</si>
  <si>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</si>
  <si>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</si>
  <si>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</si>
  <si>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</si>
  <si>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</si>
  <si>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</si>
  <si>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</si>
  <si>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</si>
  <si>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</si>
  <si>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</si>
  <si>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</si>
  <si>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</si>
  <si>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</si>
  <si>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</si>
  <si>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</si>
  <si>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</si>
  <si>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</si>
  <si>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</si>
  <si>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</si>
  <si>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</si>
  <si>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</si>
  <si>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</si>
  <si>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</si>
  <si>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</si>
  <si>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</si>
  <si>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</si>
  <si>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</si>
  <si>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</si>
  <si>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</si>
  <si>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</si>
  <si>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</si>
  <si>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</si>
  <si>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</si>
  <si>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</si>
  <si>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</si>
  <si>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</si>
  <si>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</si>
  <si>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</si>
  <si>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</si>
  <si>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</si>
  <si>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</si>
  <si>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</si>
  <si>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</si>
  <si>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</si>
  <si>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</si>
  <si>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</si>
  <si>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</si>
  <si>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</si>
  <si>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</si>
  <si>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</si>
  <si>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</si>
  <si>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</si>
  <si>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</si>
  <si>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</si>
  <si>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</si>
  <si>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</si>
  <si>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</si>
  <si>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 xml:space="preserve">29 April 2017 tot </t>
  </si>
  <si>
    <t>2017/18</t>
  </si>
  <si>
    <t>UITVOERE/EXPORTS - 2017/18 Marketing season/ bemarkingseisoen</t>
  </si>
  <si>
    <t>SAGIS: WEEKLIKSE INVOERE EN UITVOERE 2017/18 Bemarkingseisoen</t>
  </si>
  <si>
    <t>SAGIS: WEEKLY IMPORTS AND EXPORTS 2017/18 Marketing season</t>
  </si>
  <si>
    <t>29 April 2017 to</t>
  </si>
  <si>
    <t>Taiwan, Prov of China</t>
  </si>
  <si>
    <t>Korea, Rep of</t>
  </si>
  <si>
    <t>Other than Africa/Ander as Afrika</t>
  </si>
  <si>
    <t>Uganda</t>
  </si>
  <si>
    <t>Qatar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</si>
</sst>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_ ;\-0\ "/>
    <numFmt numFmtId="187" formatCode="d\-mmm\-yy"/>
    <numFmt numFmtId="188" formatCode="[$-409]d\-m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 * #\ ##0_ ;_ * \-#\ ##0_ ;_ * &quot;-&quot;??_ ;_ @_ "/>
  </numFmts>
  <fonts count="7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9.25"/>
      <color indexed="8"/>
      <name val="Arial"/>
      <family val="0"/>
    </font>
    <font>
      <b/>
      <sz val="5.5"/>
      <color indexed="8"/>
      <name val="Arial"/>
      <family val="0"/>
    </font>
    <font>
      <b/>
      <sz val="10"/>
      <color indexed="8"/>
      <name val="Arial"/>
      <family val="0"/>
    </font>
    <font>
      <b/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Calibri"/>
      <family val="0"/>
    </font>
    <font>
      <b/>
      <sz val="11.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 style="thin">
        <color rgb="FF7F7F7F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>
        <color indexed="63"/>
      </top>
      <bottom style="medium"/>
    </border>
    <border>
      <left style="thin">
        <color rgb="FF7F7F7F"/>
      </left>
      <right style="medium"/>
      <top>
        <color indexed="63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42" applyNumberFormat="1" applyFont="1" applyBorder="1" applyAlignment="1">
      <alignment/>
    </xf>
    <xf numFmtId="175" fontId="3" fillId="0" borderId="14" xfId="42" applyNumberFormat="1" applyFont="1" applyBorder="1" applyAlignment="1">
      <alignment/>
    </xf>
    <xf numFmtId="175" fontId="3" fillId="0" borderId="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9" xfId="42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5" fontId="0" fillId="0" borderId="22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5" fontId="0" fillId="0" borderId="26" xfId="42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/>
    </xf>
    <xf numFmtId="175" fontId="3" fillId="0" borderId="19" xfId="42" applyNumberFormat="1" applyFont="1" applyBorder="1" applyAlignment="1">
      <alignment/>
    </xf>
    <xf numFmtId="175" fontId="3" fillId="0" borderId="26" xfId="42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3" fillId="0" borderId="29" xfId="42" applyNumberFormat="1" applyFont="1" applyBorder="1" applyAlignment="1">
      <alignment/>
    </xf>
    <xf numFmtId="175" fontId="3" fillId="0" borderId="30" xfId="42" applyNumberFormat="1" applyFont="1" applyBorder="1" applyAlignment="1">
      <alignment/>
    </xf>
    <xf numFmtId="175" fontId="3" fillId="0" borderId="16" xfId="42" applyNumberFormat="1" applyFont="1" applyBorder="1" applyAlignment="1">
      <alignment/>
    </xf>
    <xf numFmtId="175" fontId="3" fillId="0" borderId="17" xfId="42" applyNumberFormat="1" applyFont="1" applyBorder="1" applyAlignment="1">
      <alignment/>
    </xf>
    <xf numFmtId="175" fontId="3" fillId="0" borderId="31" xfId="42" applyNumberFormat="1" applyFont="1" applyBorder="1" applyAlignment="1">
      <alignment/>
    </xf>
    <xf numFmtId="171" fontId="0" fillId="0" borderId="0" xfId="0" applyNumberFormat="1" applyAlignment="1">
      <alignment/>
    </xf>
    <xf numFmtId="175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right"/>
    </xf>
    <xf numFmtId="175" fontId="1" fillId="0" borderId="0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7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0" fontId="3" fillId="0" borderId="14" xfId="42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0" fontId="7" fillId="0" borderId="19" xfId="0" applyFont="1" applyBorder="1" applyAlignment="1">
      <alignment/>
    </xf>
    <xf numFmtId="175" fontId="7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175" fontId="8" fillId="0" borderId="19" xfId="42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85" fontId="12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58" fillId="30" borderId="1" xfId="54" applyAlignment="1">
      <alignment/>
    </xf>
    <xf numFmtId="175" fontId="58" fillId="30" borderId="1" xfId="54" applyNumberFormat="1" applyAlignment="1">
      <alignment/>
    </xf>
    <xf numFmtId="3" fontId="58" fillId="30" borderId="1" xfId="54" applyNumberFormat="1" applyAlignment="1">
      <alignment/>
    </xf>
    <xf numFmtId="41" fontId="58" fillId="30" borderId="1" xfId="54" applyNumberFormat="1" applyAlignment="1">
      <alignment/>
    </xf>
    <xf numFmtId="175" fontId="58" fillId="30" borderId="37" xfId="54" applyNumberFormat="1" applyBorder="1" applyAlignment="1">
      <alignment/>
    </xf>
    <xf numFmtId="15" fontId="65" fillId="30" borderId="1" xfId="54" applyNumberFormat="1" applyFont="1" applyAlignment="1">
      <alignment/>
    </xf>
    <xf numFmtId="0" fontId="0" fillId="0" borderId="28" xfId="0" applyFont="1" applyBorder="1" applyAlignment="1">
      <alignment/>
    </xf>
    <xf numFmtId="175" fontId="1" fillId="0" borderId="19" xfId="0" applyNumberFormat="1" applyFont="1" applyBorder="1" applyAlignment="1">
      <alignment/>
    </xf>
    <xf numFmtId="175" fontId="1" fillId="0" borderId="33" xfId="0" applyNumberFormat="1" applyFont="1" applyBorder="1" applyAlignment="1">
      <alignment/>
    </xf>
    <xf numFmtId="175" fontId="58" fillId="30" borderId="38" xfId="54" applyNumberFormat="1" applyBorder="1" applyAlignment="1">
      <alignment/>
    </xf>
    <xf numFmtId="0" fontId="0" fillId="0" borderId="0" xfId="0" applyFont="1" applyBorder="1" applyAlignment="1" quotePrefix="1">
      <alignment horizontal="right"/>
    </xf>
    <xf numFmtId="175" fontId="66" fillId="33" borderId="19" xfId="54" applyNumberFormat="1" applyFont="1" applyFill="1" applyBorder="1" applyAlignment="1">
      <alignment/>
    </xf>
    <xf numFmtId="3" fontId="66" fillId="33" borderId="19" xfId="54" applyNumberFormat="1" applyFont="1" applyFill="1" applyBorder="1" applyAlignment="1">
      <alignment/>
    </xf>
    <xf numFmtId="3" fontId="67" fillId="33" borderId="19" xfId="0" applyNumberFormat="1" applyFont="1" applyFill="1" applyBorder="1" applyAlignment="1">
      <alignment/>
    </xf>
    <xf numFmtId="0" fontId="66" fillId="0" borderId="39" xfId="0" applyFont="1" applyBorder="1" applyAlignment="1">
      <alignment/>
    </xf>
    <xf numFmtId="0" fontId="66" fillId="0" borderId="0" xfId="0" applyFont="1" applyBorder="1" applyAlignment="1" quotePrefix="1">
      <alignment horizontal="right"/>
    </xf>
    <xf numFmtId="3" fontId="0" fillId="0" borderId="33" xfId="0" applyNumberFormat="1" applyBorder="1" applyAlignment="1">
      <alignment/>
    </xf>
    <xf numFmtId="175" fontId="1" fillId="33" borderId="19" xfId="42" applyNumberFormat="1" applyFont="1" applyFill="1" applyBorder="1" applyAlignment="1">
      <alignment/>
    </xf>
    <xf numFmtId="15" fontId="58" fillId="30" borderId="40" xfId="54" applyNumberFormat="1" applyBorder="1" applyAlignment="1">
      <alignment horizontal="right"/>
    </xf>
    <xf numFmtId="0" fontId="58" fillId="30" borderId="40" xfId="54" applyBorder="1" applyAlignment="1">
      <alignment/>
    </xf>
    <xf numFmtId="15" fontId="58" fillId="33" borderId="19" xfId="54" applyNumberFormat="1" applyFill="1" applyBorder="1" applyAlignment="1">
      <alignment horizontal="right"/>
    </xf>
    <xf numFmtId="0" fontId="58" fillId="33" borderId="19" xfId="54" applyFill="1" applyBorder="1" applyAlignment="1">
      <alignment/>
    </xf>
    <xf numFmtId="0" fontId="0" fillId="0" borderId="0" xfId="0" applyFont="1" applyBorder="1" applyAlignment="1">
      <alignment horizontal="right"/>
    </xf>
    <xf numFmtId="175" fontId="0" fillId="0" borderId="41" xfId="42" applyNumberFormat="1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175" fontId="14" fillId="33" borderId="19" xfId="54" applyNumberFormat="1" applyFont="1" applyFill="1" applyBorder="1" applyAlignment="1">
      <alignment/>
    </xf>
    <xf numFmtId="3" fontId="14" fillId="33" borderId="19" xfId="54" applyNumberFormat="1" applyFont="1" applyFill="1" applyBorder="1" applyAlignment="1">
      <alignment/>
    </xf>
    <xf numFmtId="15" fontId="58" fillId="30" borderId="42" xfId="54" applyNumberFormat="1" applyBorder="1" applyAlignment="1">
      <alignment horizontal="center"/>
    </xf>
    <xf numFmtId="0" fontId="58" fillId="30" borderId="1" xfId="54" applyNumberFormat="1" applyBorder="1" applyAlignment="1">
      <alignment/>
    </xf>
    <xf numFmtId="0" fontId="58" fillId="30" borderId="1" xfId="54" applyNumberFormat="1" applyBorder="1" applyAlignment="1">
      <alignment/>
    </xf>
    <xf numFmtId="15" fontId="58" fillId="30" borderId="43" xfId="54" applyNumberFormat="1" applyBorder="1" applyAlignment="1">
      <alignment horizontal="center"/>
    </xf>
    <xf numFmtId="0" fontId="58" fillId="30" borderId="44" xfId="54" applyNumberFormat="1" applyBorder="1" applyAlignment="1">
      <alignment/>
    </xf>
    <xf numFmtId="0" fontId="58" fillId="30" borderId="45" xfId="54" applyBorder="1" applyAlignment="1">
      <alignment/>
    </xf>
    <xf numFmtId="0" fontId="3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5" fontId="58" fillId="30" borderId="1" xfId="54" applyNumberFormat="1" applyFont="1" applyAlignment="1">
      <alignment/>
    </xf>
    <xf numFmtId="15" fontId="14" fillId="0" borderId="0" xfId="0" applyNumberFormat="1" applyFont="1" applyAlignment="1">
      <alignment/>
    </xf>
    <xf numFmtId="0" fontId="58" fillId="30" borderId="43" xfId="54" applyBorder="1" applyAlignment="1">
      <alignment/>
    </xf>
    <xf numFmtId="0" fontId="13" fillId="0" borderId="0" xfId="0" applyFont="1" applyAlignment="1">
      <alignment horizontal="right"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6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5" fontId="58" fillId="30" borderId="46" xfId="54" applyNumberFormat="1" applyBorder="1" applyAlignment="1">
      <alignment horizontal="center"/>
    </xf>
    <xf numFmtId="0" fontId="58" fillId="30" borderId="47" xfId="54" applyNumberFormat="1" applyBorder="1" applyAlignment="1">
      <alignment/>
    </xf>
    <xf numFmtId="0" fontId="58" fillId="30" borderId="46" xfId="54" applyBorder="1" applyAlignment="1">
      <alignment/>
    </xf>
    <xf numFmtId="0" fontId="58" fillId="30" borderId="48" xfId="54" applyBorder="1" applyAlignment="1">
      <alignment/>
    </xf>
    <xf numFmtId="175" fontId="1" fillId="33" borderId="0" xfId="42" applyNumberFormat="1" applyFont="1" applyFill="1" applyBorder="1" applyAlignment="1">
      <alignment/>
    </xf>
    <xf numFmtId="3" fontId="58" fillId="30" borderId="49" xfId="54" applyNumberFormat="1" applyBorder="1" applyAlignment="1">
      <alignment/>
    </xf>
    <xf numFmtId="175" fontId="58" fillId="30" borderId="49" xfId="54" applyNumberFormat="1" applyBorder="1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5" fontId="14" fillId="0" borderId="19" xfId="54" applyNumberFormat="1" applyFont="1" applyFill="1" applyBorder="1" applyAlignment="1">
      <alignment/>
    </xf>
    <xf numFmtId="3" fontId="14" fillId="0" borderId="19" xfId="54" applyNumberFormat="1" applyFont="1" applyFill="1" applyBorder="1" applyAlignment="1">
      <alignment/>
    </xf>
    <xf numFmtId="43" fontId="0" fillId="0" borderId="28" xfId="42" applyNumberFormat="1" applyFont="1" applyBorder="1" applyAlignment="1">
      <alignment/>
    </xf>
    <xf numFmtId="0" fontId="15" fillId="0" borderId="0" xfId="0" applyFont="1" applyAlignment="1">
      <alignment/>
    </xf>
    <xf numFmtId="188" fontId="8" fillId="0" borderId="0" xfId="0" applyNumberFormat="1" applyFont="1" applyAlignment="1">
      <alignment/>
    </xf>
    <xf numFmtId="0" fontId="68" fillId="0" borderId="5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68" fillId="0" borderId="50" xfId="0" applyNumberFormat="1" applyFont="1" applyBorder="1" applyAlignment="1">
      <alignment horizontal="center"/>
    </xf>
    <xf numFmtId="3" fontId="69" fillId="0" borderId="50" xfId="0" applyNumberFormat="1" applyFont="1" applyBorder="1" applyAlignment="1">
      <alignment horizontal="right"/>
    </xf>
    <xf numFmtId="3" fontId="68" fillId="0" borderId="50" xfId="0" applyNumberFormat="1" applyFont="1" applyBorder="1" applyAlignment="1">
      <alignment horizontal="right"/>
    </xf>
    <xf numFmtId="0" fontId="58" fillId="30" borderId="45" xfId="54" applyNumberFormat="1" applyBorder="1" applyAlignment="1">
      <alignment/>
    </xf>
    <xf numFmtId="175" fontId="58" fillId="30" borderId="1" xfId="42" applyNumberFormat="1" applyFont="1" applyFill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70" fillId="0" borderId="52" xfId="0" applyNumberFormat="1" applyFont="1" applyBorder="1" applyAlignment="1">
      <alignment horizontal="center"/>
    </xf>
    <xf numFmtId="0" fontId="70" fillId="0" borderId="53" xfId="0" applyNumberFormat="1" applyFont="1" applyBorder="1" applyAlignment="1">
      <alignment horizontal="center"/>
    </xf>
    <xf numFmtId="0" fontId="70" fillId="0" borderId="54" xfId="0" applyNumberFormat="1" applyFont="1" applyBorder="1" applyAlignment="1">
      <alignment horizontal="center"/>
    </xf>
    <xf numFmtId="0" fontId="68" fillId="0" borderId="52" xfId="0" applyNumberFormat="1" applyFont="1" applyBorder="1" applyAlignment="1">
      <alignment horizontal="left"/>
    </xf>
    <xf numFmtId="0" fontId="68" fillId="0" borderId="53" xfId="0" applyNumberFormat="1" applyFont="1" applyBorder="1" applyAlignment="1">
      <alignment horizontal="left"/>
    </xf>
    <xf numFmtId="0" fontId="68" fillId="0" borderId="54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Exports for 2017/18 (ton, %)</a:t>
            </a:r>
          </a:p>
        </c:rich>
      </c:tx>
      <c:layout>
        <c:manualLayout>
          <c:xMode val="factor"/>
          <c:yMode val="factor"/>
          <c:x val="-0.0075"/>
          <c:y val="0.87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"/>
          <c:y val="0.10425"/>
          <c:w val="0.47175"/>
          <c:h val="0.71825"/>
        </c:manualLayout>
      </c:layout>
      <c:pieChart>
        <c:varyColors val="1"/>
        <c:ser>
          <c:idx val="2"/>
          <c:order val="0"/>
          <c:tx>
            <c:strRef>
              <c:f>'Export destin -Uitvoer bestem.'!$H$50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bestem.'!$A$51:$A$84</c:f>
              <c:strCache>
                <c:ptCount val="34"/>
                <c:pt idx="0">
                  <c:v>Lesotho</c:v>
                </c:pt>
                <c:pt idx="1">
                  <c:v>Mozambique</c:v>
                </c:pt>
                <c:pt idx="2">
                  <c:v>Swaziland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Angola</c:v>
                </c:pt>
                <c:pt idx="8">
                  <c:v>Egipte</c:v>
                </c:pt>
                <c:pt idx="9">
                  <c:v>Kuwait</c:v>
                </c:pt>
                <c:pt idx="10">
                  <c:v>Cameroon</c:v>
                </c:pt>
                <c:pt idx="11">
                  <c:v>Yemen</c:v>
                </c:pt>
                <c:pt idx="12">
                  <c:v>Ghana</c:v>
                </c:pt>
                <c:pt idx="13">
                  <c:v>North Korea</c:v>
                </c:pt>
                <c:pt idx="14">
                  <c:v>South Korea</c:v>
                </c:pt>
                <c:pt idx="15">
                  <c:v>Korea, Rep of</c:v>
                </c:pt>
                <c:pt idx="16">
                  <c:v>Malaysia</c:v>
                </c:pt>
                <c:pt idx="17">
                  <c:v>Mauritius</c:v>
                </c:pt>
                <c:pt idx="18">
                  <c:v>Madagaskar</c:v>
                </c:pt>
                <c:pt idx="19">
                  <c:v>Nigeria</c:v>
                </c:pt>
                <c:pt idx="20">
                  <c:v>Malawië</c:v>
                </c:pt>
                <c:pt idx="21">
                  <c:v>Portugal</c:v>
                </c:pt>
                <c:pt idx="22">
                  <c:v>Qatar</c:v>
                </c:pt>
                <c:pt idx="23">
                  <c:v>Saudi Arabia</c:v>
                </c:pt>
                <c:pt idx="24">
                  <c:v>Senegal</c:v>
                </c:pt>
                <c:pt idx="25">
                  <c:v>Tanzania</c:v>
                </c:pt>
                <c:pt idx="26">
                  <c:v>Zambia</c:v>
                </c:pt>
                <c:pt idx="27">
                  <c:v>Seychelles</c:v>
                </c:pt>
                <c:pt idx="28">
                  <c:v>Spain</c:v>
                </c:pt>
                <c:pt idx="29">
                  <c:v>Zimbabwe</c:v>
                </c:pt>
                <c:pt idx="30">
                  <c:v>Iran</c:v>
                </c:pt>
                <c:pt idx="31">
                  <c:v>Italy</c:v>
                </c:pt>
                <c:pt idx="32">
                  <c:v>Indonesia</c:v>
                </c:pt>
                <c:pt idx="33">
                  <c:v>Central African Republic</c:v>
                </c:pt>
              </c:strCache>
            </c:strRef>
          </c:cat>
          <c:val>
            <c:numRef>
              <c:f>'Export destin -Uitvoer bestem.'!$H$51:$H$84</c:f>
              <c:numCache>
                <c:ptCount val="34"/>
                <c:pt idx="0">
                  <c:v>1394</c:v>
                </c:pt>
                <c:pt idx="1">
                  <c:v>18327</c:v>
                </c:pt>
                <c:pt idx="2">
                  <c:v>72578</c:v>
                </c:pt>
                <c:pt idx="3">
                  <c:v>40246</c:v>
                </c:pt>
                <c:pt idx="4">
                  <c:v>15029</c:v>
                </c:pt>
                <c:pt idx="5">
                  <c:v>261914</c:v>
                </c:pt>
                <c:pt idx="6">
                  <c:v>765668</c:v>
                </c:pt>
                <c:pt idx="7">
                  <c:v>2380</c:v>
                </c:pt>
                <c:pt idx="12">
                  <c:v>301</c:v>
                </c:pt>
                <c:pt idx="14">
                  <c:v>1656</c:v>
                </c:pt>
                <c:pt idx="15">
                  <c:v>211943</c:v>
                </c:pt>
                <c:pt idx="22">
                  <c:v>4597</c:v>
                </c:pt>
                <c:pt idx="29">
                  <c:v>889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White Maize Exports for 2017/18 (ton, %)</a:t>
            </a:r>
          </a:p>
        </c:rich>
      </c:tx>
      <c:layout>
        <c:manualLayout>
          <c:xMode val="factor"/>
          <c:yMode val="factor"/>
          <c:x val="0.005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5"/>
          <c:y val="0.17075"/>
          <c:w val="0.461"/>
          <c:h val="0.7045"/>
        </c:manualLayout>
      </c:layout>
      <c:pieChart>
        <c:varyColors val="1"/>
        <c:ser>
          <c:idx val="2"/>
          <c:order val="0"/>
          <c:tx>
            <c:strRef>
              <c:f>'Export destin -Uitvoer bestem.'!$H$8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C5CFE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E4C5C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bestem.'!$A$9:$A$46</c:f>
              <c:strCache>
                <c:ptCount val="38"/>
                <c:pt idx="0">
                  <c:v>Swaziland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Ethiopia</c:v>
                </c:pt>
                <c:pt idx="16">
                  <c:v>Ghana</c:v>
                </c:pt>
                <c:pt idx="17">
                  <c:v>Kenya</c:v>
                </c:pt>
                <c:pt idx="18">
                  <c:v>Korea (North)</c:v>
                </c:pt>
                <c:pt idx="19">
                  <c:v>Iran</c:v>
                </c:pt>
                <c:pt idx="20">
                  <c:v>Madagascar </c:v>
                </c:pt>
                <c:pt idx="21">
                  <c:v>Malawië</c:v>
                </c:pt>
                <c:pt idx="22">
                  <c:v>Mali</c:v>
                </c:pt>
                <c:pt idx="23">
                  <c:v>Portugal</c:v>
                </c:pt>
                <c:pt idx="24">
                  <c:v>Nigeria</c:v>
                </c:pt>
                <c:pt idx="25">
                  <c:v>Italy</c:v>
                </c:pt>
                <c:pt idx="26">
                  <c:v>Somalia</c:v>
                </c:pt>
                <c:pt idx="27">
                  <c:v>Sudan</c:v>
                </c:pt>
                <c:pt idx="28">
                  <c:v>Mauritius</c:v>
                </c:pt>
                <c:pt idx="29">
                  <c:v>Qatar</c:v>
                </c:pt>
                <c:pt idx="30">
                  <c:v>Senegal</c:v>
                </c:pt>
                <c:pt idx="31">
                  <c:v>Spain</c:v>
                </c:pt>
                <c:pt idx="32">
                  <c:v>Singapore</c:v>
                </c:pt>
                <c:pt idx="33">
                  <c:v>Tanzania</c:v>
                </c:pt>
                <c:pt idx="34">
                  <c:v>Togo</c:v>
                </c:pt>
                <c:pt idx="35">
                  <c:v>Uganda</c:v>
                </c:pt>
                <c:pt idx="36">
                  <c:v>Venezuela</c:v>
                </c:pt>
                <c:pt idx="37">
                  <c:v>Zambia</c:v>
                </c:pt>
              </c:strCache>
            </c:strRef>
          </c:cat>
          <c:val>
            <c:numRef>
              <c:f>'Export destin -Uitvoer bestem.'!$H$9:$H$46</c:f>
              <c:numCache>
                <c:ptCount val="38"/>
                <c:pt idx="0">
                  <c:v>22514</c:v>
                </c:pt>
                <c:pt idx="1">
                  <c:v>63884</c:v>
                </c:pt>
                <c:pt idx="2">
                  <c:v>57135</c:v>
                </c:pt>
                <c:pt idx="3">
                  <c:v>10477</c:v>
                </c:pt>
                <c:pt idx="4">
                  <c:v>37455</c:v>
                </c:pt>
                <c:pt idx="5">
                  <c:v>155689</c:v>
                </c:pt>
                <c:pt idx="17">
                  <c:v>247250</c:v>
                </c:pt>
                <c:pt idx="31">
                  <c:v>22</c:v>
                </c:pt>
                <c:pt idx="35">
                  <c:v>24998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Yellow Maize for 2017/18 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4525"/>
          <c:w val="0.94625"/>
          <c:h val="0.822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'Previous Weekly'!$B$8:$B$60</c:f>
              <c:strCache>
                <c:ptCount val="53"/>
                <c:pt idx="0">
                  <c:v>42496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  <c:pt idx="8">
                  <c:v>42552</c:v>
                </c:pt>
                <c:pt idx="9">
                  <c:v>42559</c:v>
                </c:pt>
                <c:pt idx="10">
                  <c:v>42566</c:v>
                </c:pt>
                <c:pt idx="11">
                  <c:v>42573</c:v>
                </c:pt>
                <c:pt idx="12">
                  <c:v>42580</c:v>
                </c:pt>
                <c:pt idx="13">
                  <c:v>42587</c:v>
                </c:pt>
                <c:pt idx="14">
                  <c:v>42594</c:v>
                </c:pt>
                <c:pt idx="15">
                  <c:v>42601</c:v>
                </c:pt>
                <c:pt idx="16">
                  <c:v>42608</c:v>
                </c:pt>
                <c:pt idx="17">
                  <c:v>42615</c:v>
                </c:pt>
                <c:pt idx="18">
                  <c:v>42622</c:v>
                </c:pt>
                <c:pt idx="19">
                  <c:v>42629</c:v>
                </c:pt>
                <c:pt idx="20">
                  <c:v>42636</c:v>
                </c:pt>
                <c:pt idx="21">
                  <c:v>42643</c:v>
                </c:pt>
                <c:pt idx="22">
                  <c:v>42650</c:v>
                </c:pt>
                <c:pt idx="23">
                  <c:v>42657</c:v>
                </c:pt>
                <c:pt idx="24">
                  <c:v>42664</c:v>
                </c:pt>
                <c:pt idx="25">
                  <c:v>42671</c:v>
                </c:pt>
                <c:pt idx="26">
                  <c:v>42678</c:v>
                </c:pt>
                <c:pt idx="27">
                  <c:v>42685</c:v>
                </c:pt>
                <c:pt idx="28">
                  <c:v>42692</c:v>
                </c:pt>
                <c:pt idx="29">
                  <c:v>42699</c:v>
                </c:pt>
                <c:pt idx="30">
                  <c:v>42706</c:v>
                </c:pt>
                <c:pt idx="31">
                  <c:v>42713</c:v>
                </c:pt>
                <c:pt idx="32">
                  <c:v>42720</c:v>
                </c:pt>
                <c:pt idx="33">
                  <c:v>42727</c:v>
                </c:pt>
                <c:pt idx="34">
                  <c:v>42734</c:v>
                </c:pt>
                <c:pt idx="35">
                  <c:v>42741</c:v>
                </c:pt>
                <c:pt idx="36">
                  <c:v>42748</c:v>
                </c:pt>
                <c:pt idx="37">
                  <c:v>42755</c:v>
                </c:pt>
                <c:pt idx="38">
                  <c:v>42762</c:v>
                </c:pt>
                <c:pt idx="39">
                  <c:v>42769</c:v>
                </c:pt>
                <c:pt idx="40">
                  <c:v>42776</c:v>
                </c:pt>
                <c:pt idx="41">
                  <c:v>42783</c:v>
                </c:pt>
                <c:pt idx="42">
                  <c:v>42790</c:v>
                </c:pt>
                <c:pt idx="43">
                  <c:v>42797</c:v>
                </c:pt>
                <c:pt idx="44">
                  <c:v>42804</c:v>
                </c:pt>
                <c:pt idx="45">
                  <c:v>42811</c:v>
                </c:pt>
                <c:pt idx="46">
                  <c:v>42818</c:v>
                </c:pt>
                <c:pt idx="47">
                  <c:v>42825</c:v>
                </c:pt>
                <c:pt idx="48">
                  <c:v>42832</c:v>
                </c:pt>
                <c:pt idx="49">
                  <c:v>42839</c:v>
                </c:pt>
                <c:pt idx="50">
                  <c:v>42846</c:v>
                </c:pt>
                <c:pt idx="51">
                  <c:v>42853</c:v>
                </c:pt>
                <c:pt idx="52">
                  <c:v>42489</c:v>
                </c:pt>
              </c:strCache>
            </c:strRef>
          </c:cat>
          <c:val>
            <c:numRef>
              <c:f>'Weekliks-Weekly'!$J$8:$J$60</c:f>
              <c:numCache>
                <c:ptCount val="53"/>
                <c:pt idx="0">
                  <c:v>2445</c:v>
                </c:pt>
                <c:pt idx="1">
                  <c:v>4886</c:v>
                </c:pt>
                <c:pt idx="2">
                  <c:v>7564</c:v>
                </c:pt>
                <c:pt idx="3">
                  <c:v>10823</c:v>
                </c:pt>
                <c:pt idx="4">
                  <c:v>32911</c:v>
                </c:pt>
                <c:pt idx="5">
                  <c:v>100786</c:v>
                </c:pt>
                <c:pt idx="6">
                  <c:v>129445</c:v>
                </c:pt>
                <c:pt idx="7">
                  <c:v>172290</c:v>
                </c:pt>
                <c:pt idx="8">
                  <c:v>241749</c:v>
                </c:pt>
                <c:pt idx="9">
                  <c:v>265352</c:v>
                </c:pt>
                <c:pt idx="10">
                  <c:v>338187</c:v>
                </c:pt>
                <c:pt idx="11">
                  <c:v>409882</c:v>
                </c:pt>
                <c:pt idx="12">
                  <c:v>488407</c:v>
                </c:pt>
                <c:pt idx="13">
                  <c:v>545369</c:v>
                </c:pt>
                <c:pt idx="14">
                  <c:v>648942</c:v>
                </c:pt>
                <c:pt idx="15">
                  <c:v>708760</c:v>
                </c:pt>
                <c:pt idx="16">
                  <c:v>734601</c:v>
                </c:pt>
                <c:pt idx="17">
                  <c:v>789900</c:v>
                </c:pt>
                <c:pt idx="18">
                  <c:v>792476</c:v>
                </c:pt>
                <c:pt idx="19">
                  <c:v>807358</c:v>
                </c:pt>
                <c:pt idx="20">
                  <c:v>844863</c:v>
                </c:pt>
                <c:pt idx="21">
                  <c:v>848143</c:v>
                </c:pt>
                <c:pt idx="22">
                  <c:v>901947</c:v>
                </c:pt>
                <c:pt idx="23">
                  <c:v>906504</c:v>
                </c:pt>
                <c:pt idx="24">
                  <c:v>908533</c:v>
                </c:pt>
                <c:pt idx="25">
                  <c:v>967633</c:v>
                </c:pt>
                <c:pt idx="26">
                  <c:v>978052</c:v>
                </c:pt>
                <c:pt idx="27">
                  <c:v>1028988</c:v>
                </c:pt>
                <c:pt idx="28">
                  <c:v>1032548</c:v>
                </c:pt>
                <c:pt idx="29">
                  <c:v>1059096</c:v>
                </c:pt>
                <c:pt idx="30">
                  <c:v>1117555</c:v>
                </c:pt>
                <c:pt idx="31">
                  <c:v>1160430</c:v>
                </c:pt>
                <c:pt idx="32">
                  <c:v>1160430</c:v>
                </c:pt>
                <c:pt idx="33">
                  <c:v>1160430</c:v>
                </c:pt>
                <c:pt idx="34">
                  <c:v>1208227</c:v>
                </c:pt>
                <c:pt idx="35">
                  <c:v>1210311</c:v>
                </c:pt>
                <c:pt idx="36">
                  <c:v>1254488</c:v>
                </c:pt>
                <c:pt idx="37">
                  <c:v>1268024</c:v>
                </c:pt>
                <c:pt idx="38">
                  <c:v>1271882</c:v>
                </c:pt>
                <c:pt idx="39">
                  <c:v>1316994</c:v>
                </c:pt>
                <c:pt idx="40">
                  <c:v>1339381</c:v>
                </c:pt>
                <c:pt idx="41">
                  <c:v>1371069</c:v>
                </c:pt>
                <c:pt idx="42">
                  <c:v>1387239</c:v>
                </c:pt>
                <c:pt idx="43">
                  <c:v>1392424</c:v>
                </c:pt>
                <c:pt idx="44">
                  <c:v>1396922</c:v>
                </c:pt>
                <c:pt idx="45">
                  <c:v>1396922</c:v>
                </c:pt>
                <c:pt idx="46">
                  <c:v>1396922</c:v>
                </c:pt>
                <c:pt idx="47">
                  <c:v>1396922</c:v>
                </c:pt>
                <c:pt idx="48">
                  <c:v>1396922</c:v>
                </c:pt>
                <c:pt idx="49">
                  <c:v>1396922</c:v>
                </c:pt>
                <c:pt idx="50">
                  <c:v>1396922</c:v>
                </c:pt>
                <c:pt idx="51">
                  <c:v>1396922</c:v>
                </c:pt>
              </c:numCache>
            </c:numRef>
          </c:val>
        </c:ser>
        <c:gapWidth val="75"/>
        <c:axId val="2940167"/>
        <c:axId val="26461504"/>
      </c:barChart>
      <c:lineChart>
        <c:grouping val="standard"/>
        <c:varyColors val="0"/>
        <c:ser>
          <c:idx val="0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'Weekliks-Weekly'!$A$8:$B$59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06-Oct-17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03-Nov-17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01-Dec-17</c:v>
                  </c:pt>
                  <c:pt idx="31">
                    <c:v>08-Dec-17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05-Jan-18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02-Feb-18</c:v>
                  </c:pt>
                  <c:pt idx="40">
                    <c:v>09-Feb-18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02-Mar-18</c:v>
                  </c:pt>
                  <c:pt idx="44">
                    <c:v>09-Mar-18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</c:lvl>
              </c:multiLvlStrCache>
            </c:multiLvlStrRef>
          </c:cat>
          <c:val>
            <c:numRef>
              <c:f>'Previous Weekly'!$J$8:$J$60</c:f>
              <c:numCache>
                <c:ptCount val="53"/>
                <c:pt idx="0">
                  <c:v>3268</c:v>
                </c:pt>
                <c:pt idx="1">
                  <c:v>6989</c:v>
                </c:pt>
                <c:pt idx="2">
                  <c:v>11649</c:v>
                </c:pt>
                <c:pt idx="3">
                  <c:v>22115</c:v>
                </c:pt>
                <c:pt idx="4">
                  <c:v>25307</c:v>
                </c:pt>
                <c:pt idx="5">
                  <c:v>30093</c:v>
                </c:pt>
                <c:pt idx="6">
                  <c:v>34094</c:v>
                </c:pt>
                <c:pt idx="7">
                  <c:v>42512</c:v>
                </c:pt>
                <c:pt idx="8">
                  <c:v>48563</c:v>
                </c:pt>
                <c:pt idx="9">
                  <c:v>53024</c:v>
                </c:pt>
                <c:pt idx="10">
                  <c:v>58343</c:v>
                </c:pt>
                <c:pt idx="11">
                  <c:v>61856</c:v>
                </c:pt>
                <c:pt idx="12">
                  <c:v>66924</c:v>
                </c:pt>
                <c:pt idx="13">
                  <c:v>71100</c:v>
                </c:pt>
                <c:pt idx="14">
                  <c:v>75389</c:v>
                </c:pt>
                <c:pt idx="15">
                  <c:v>79855</c:v>
                </c:pt>
                <c:pt idx="16">
                  <c:v>84869</c:v>
                </c:pt>
                <c:pt idx="17">
                  <c:v>88162</c:v>
                </c:pt>
                <c:pt idx="18">
                  <c:v>92888</c:v>
                </c:pt>
                <c:pt idx="19">
                  <c:v>98434</c:v>
                </c:pt>
                <c:pt idx="20">
                  <c:v>102384</c:v>
                </c:pt>
                <c:pt idx="21">
                  <c:v>107645</c:v>
                </c:pt>
                <c:pt idx="22">
                  <c:v>115109</c:v>
                </c:pt>
                <c:pt idx="23">
                  <c:v>120884</c:v>
                </c:pt>
                <c:pt idx="24">
                  <c:v>128559</c:v>
                </c:pt>
                <c:pt idx="25">
                  <c:v>138498</c:v>
                </c:pt>
                <c:pt idx="26">
                  <c:v>147621</c:v>
                </c:pt>
                <c:pt idx="27">
                  <c:v>155714</c:v>
                </c:pt>
                <c:pt idx="28">
                  <c:v>164567</c:v>
                </c:pt>
                <c:pt idx="29">
                  <c:v>173028</c:v>
                </c:pt>
                <c:pt idx="30">
                  <c:v>183079</c:v>
                </c:pt>
                <c:pt idx="31">
                  <c:v>183079</c:v>
                </c:pt>
                <c:pt idx="32">
                  <c:v>183079</c:v>
                </c:pt>
                <c:pt idx="33">
                  <c:v>183079</c:v>
                </c:pt>
                <c:pt idx="34">
                  <c:v>208341</c:v>
                </c:pt>
                <c:pt idx="35">
                  <c:v>213274</c:v>
                </c:pt>
                <c:pt idx="36">
                  <c:v>219033</c:v>
                </c:pt>
                <c:pt idx="37">
                  <c:v>223956</c:v>
                </c:pt>
                <c:pt idx="38">
                  <c:v>231223</c:v>
                </c:pt>
                <c:pt idx="39">
                  <c:v>237293</c:v>
                </c:pt>
                <c:pt idx="40">
                  <c:v>243415</c:v>
                </c:pt>
                <c:pt idx="41">
                  <c:v>248871</c:v>
                </c:pt>
                <c:pt idx="42">
                  <c:v>255170</c:v>
                </c:pt>
                <c:pt idx="43">
                  <c:v>259449</c:v>
                </c:pt>
                <c:pt idx="44">
                  <c:v>264348</c:v>
                </c:pt>
                <c:pt idx="45">
                  <c:v>268604</c:v>
                </c:pt>
                <c:pt idx="46">
                  <c:v>272463</c:v>
                </c:pt>
                <c:pt idx="47">
                  <c:v>277254</c:v>
                </c:pt>
                <c:pt idx="48">
                  <c:v>279952</c:v>
                </c:pt>
                <c:pt idx="49">
                  <c:v>283298</c:v>
                </c:pt>
                <c:pt idx="50">
                  <c:v>285976</c:v>
                </c:pt>
                <c:pt idx="51">
                  <c:v>289140</c:v>
                </c:pt>
                <c:pt idx="52">
                  <c:v>293918</c:v>
                </c:pt>
              </c:numCache>
            </c:numRef>
          </c:val>
          <c:smooth val="0"/>
        </c:ser>
        <c:axId val="2940167"/>
        <c:axId val="26461504"/>
      </c:lineChart>
      <c:catAx>
        <c:axId val="294016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1504"/>
        <c:crosses val="autoZero"/>
        <c:auto val="1"/>
        <c:lblOffset val="100"/>
        <c:tickLblSkip val="2"/>
        <c:noMultiLvlLbl val="0"/>
      </c:catAx>
      <c:valAx>
        <c:axId val="26461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0167"/>
        <c:crosses val="max"/>
        <c:crossBetween val="between"/>
        <c:dispUnits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"/>
          <c:y val="0.92825"/>
          <c:w val="0.989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RSA Weeklikse mielie-uitvoere
RSA Weekly maize exports</a:t>
            </a:r>
          </a:p>
        </c:rich>
      </c:tx>
      <c:layout>
        <c:manualLayout>
          <c:xMode val="factor"/>
          <c:yMode val="factor"/>
          <c:x val="-0.02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"/>
          <c:w val="0.95025"/>
          <c:h val="0.8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'Weekliks-Weekly'!$G$5</c:f>
              <c:strCache>
                <c:ptCount val="1"/>
                <c:pt idx="0">
                  <c:v>Wit/White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  <c:pt idx="20">
                  <c:v>43000</c:v>
                </c:pt>
                <c:pt idx="21">
                  <c:v>43007</c:v>
                </c:pt>
                <c:pt idx="22">
                  <c:v>43014</c:v>
                </c:pt>
                <c:pt idx="23">
                  <c:v>43021</c:v>
                </c:pt>
                <c:pt idx="24">
                  <c:v>43028</c:v>
                </c:pt>
                <c:pt idx="25">
                  <c:v>43035</c:v>
                </c:pt>
                <c:pt idx="26">
                  <c:v>43042</c:v>
                </c:pt>
                <c:pt idx="27">
                  <c:v>43049</c:v>
                </c:pt>
                <c:pt idx="28">
                  <c:v>43056</c:v>
                </c:pt>
                <c:pt idx="29">
                  <c:v>43063</c:v>
                </c:pt>
                <c:pt idx="30">
                  <c:v>43070</c:v>
                </c:pt>
                <c:pt idx="31">
                  <c:v>43077</c:v>
                </c:pt>
                <c:pt idx="32">
                  <c:v>43084</c:v>
                </c:pt>
                <c:pt idx="33">
                  <c:v>43091</c:v>
                </c:pt>
                <c:pt idx="34">
                  <c:v>43098</c:v>
                </c:pt>
                <c:pt idx="35">
                  <c:v>43105</c:v>
                </c:pt>
                <c:pt idx="36">
                  <c:v>43112</c:v>
                </c:pt>
                <c:pt idx="37">
                  <c:v>43119</c:v>
                </c:pt>
                <c:pt idx="38">
                  <c:v>43126</c:v>
                </c:pt>
                <c:pt idx="39">
                  <c:v>43133</c:v>
                </c:pt>
                <c:pt idx="40">
                  <c:v>43140</c:v>
                </c:pt>
                <c:pt idx="41">
                  <c:v>43147</c:v>
                </c:pt>
                <c:pt idx="42">
                  <c:v>43154</c:v>
                </c:pt>
                <c:pt idx="43">
                  <c:v>43161</c:v>
                </c:pt>
                <c:pt idx="44">
                  <c:v>43168</c:v>
                </c:pt>
              </c:strCache>
            </c:strRef>
          </c:cat>
          <c:val>
            <c:numRef>
              <c:f>'Weekliks-Weekly'!$G$8:$G$59</c:f>
              <c:numCache>
                <c:ptCount val="52"/>
                <c:pt idx="0">
                  <c:v>10928</c:v>
                </c:pt>
                <c:pt idx="1">
                  <c:v>9206</c:v>
                </c:pt>
                <c:pt idx="2">
                  <c:v>7276</c:v>
                </c:pt>
                <c:pt idx="3">
                  <c:v>10636</c:v>
                </c:pt>
                <c:pt idx="4">
                  <c:v>8722</c:v>
                </c:pt>
                <c:pt idx="5">
                  <c:v>5673</c:v>
                </c:pt>
                <c:pt idx="6">
                  <c:v>35279</c:v>
                </c:pt>
                <c:pt idx="7">
                  <c:v>44492</c:v>
                </c:pt>
                <c:pt idx="8">
                  <c:v>52456</c:v>
                </c:pt>
                <c:pt idx="9">
                  <c:v>8587</c:v>
                </c:pt>
                <c:pt idx="10">
                  <c:v>9724</c:v>
                </c:pt>
                <c:pt idx="11">
                  <c:v>80703</c:v>
                </c:pt>
                <c:pt idx="12">
                  <c:v>35546</c:v>
                </c:pt>
                <c:pt idx="13">
                  <c:v>6760</c:v>
                </c:pt>
                <c:pt idx="14">
                  <c:v>7182</c:v>
                </c:pt>
                <c:pt idx="15">
                  <c:v>11671</c:v>
                </c:pt>
                <c:pt idx="16">
                  <c:v>11825</c:v>
                </c:pt>
                <c:pt idx="17">
                  <c:v>27263</c:v>
                </c:pt>
                <c:pt idx="18">
                  <c:v>6418</c:v>
                </c:pt>
                <c:pt idx="19">
                  <c:v>30158</c:v>
                </c:pt>
                <c:pt idx="20">
                  <c:v>5754</c:v>
                </c:pt>
                <c:pt idx="21">
                  <c:v>27282</c:v>
                </c:pt>
                <c:pt idx="22">
                  <c:v>6904</c:v>
                </c:pt>
                <c:pt idx="23">
                  <c:v>6016</c:v>
                </c:pt>
                <c:pt idx="24">
                  <c:v>8291</c:v>
                </c:pt>
                <c:pt idx="25">
                  <c:v>8841</c:v>
                </c:pt>
                <c:pt idx="26">
                  <c:v>5658</c:v>
                </c:pt>
                <c:pt idx="27">
                  <c:v>7546</c:v>
                </c:pt>
                <c:pt idx="28">
                  <c:v>8099</c:v>
                </c:pt>
                <c:pt idx="29">
                  <c:v>8249</c:v>
                </c:pt>
                <c:pt idx="30">
                  <c:v>4884</c:v>
                </c:pt>
                <c:pt idx="31">
                  <c:v>5507</c:v>
                </c:pt>
                <c:pt idx="32">
                  <c:v>0</c:v>
                </c:pt>
                <c:pt idx="33">
                  <c:v>0</c:v>
                </c:pt>
                <c:pt idx="34">
                  <c:v>19897</c:v>
                </c:pt>
                <c:pt idx="35">
                  <c:v>3243</c:v>
                </c:pt>
                <c:pt idx="36">
                  <c:v>4780</c:v>
                </c:pt>
                <c:pt idx="37">
                  <c:v>7451</c:v>
                </c:pt>
                <c:pt idx="38">
                  <c:v>10362</c:v>
                </c:pt>
                <c:pt idx="39">
                  <c:v>6481</c:v>
                </c:pt>
                <c:pt idx="40">
                  <c:v>7005</c:v>
                </c:pt>
                <c:pt idx="41">
                  <c:v>8054</c:v>
                </c:pt>
                <c:pt idx="42">
                  <c:v>9616</c:v>
                </c:pt>
                <c:pt idx="43">
                  <c:v>9487</c:v>
                </c:pt>
                <c:pt idx="44">
                  <c:v>9512</c:v>
                </c:pt>
              </c:numCache>
            </c:numRef>
          </c:val>
        </c:ser>
        <c:ser>
          <c:idx val="0"/>
          <c:order val="1"/>
          <c:tx>
            <c:strRef>
              <c:f>'Weekliks-Weekly'!$H$5</c:f>
              <c:strCache>
                <c:ptCount val="1"/>
                <c:pt idx="0">
                  <c:v>Geel/Yellow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  <c:pt idx="20">
                  <c:v>43000</c:v>
                </c:pt>
                <c:pt idx="21">
                  <c:v>43007</c:v>
                </c:pt>
                <c:pt idx="22">
                  <c:v>43014</c:v>
                </c:pt>
                <c:pt idx="23">
                  <c:v>43021</c:v>
                </c:pt>
                <c:pt idx="24">
                  <c:v>43028</c:v>
                </c:pt>
                <c:pt idx="25">
                  <c:v>43035</c:v>
                </c:pt>
                <c:pt idx="26">
                  <c:v>43042</c:v>
                </c:pt>
                <c:pt idx="27">
                  <c:v>43049</c:v>
                </c:pt>
                <c:pt idx="28">
                  <c:v>43056</c:v>
                </c:pt>
                <c:pt idx="29">
                  <c:v>43063</c:v>
                </c:pt>
                <c:pt idx="30">
                  <c:v>43070</c:v>
                </c:pt>
                <c:pt idx="31">
                  <c:v>43077</c:v>
                </c:pt>
                <c:pt idx="32">
                  <c:v>43084</c:v>
                </c:pt>
                <c:pt idx="33">
                  <c:v>43091</c:v>
                </c:pt>
                <c:pt idx="34">
                  <c:v>43098</c:v>
                </c:pt>
                <c:pt idx="35">
                  <c:v>43105</c:v>
                </c:pt>
                <c:pt idx="36">
                  <c:v>43112</c:v>
                </c:pt>
                <c:pt idx="37">
                  <c:v>43119</c:v>
                </c:pt>
                <c:pt idx="38">
                  <c:v>43126</c:v>
                </c:pt>
                <c:pt idx="39">
                  <c:v>43133</c:v>
                </c:pt>
                <c:pt idx="40">
                  <c:v>43140</c:v>
                </c:pt>
                <c:pt idx="41">
                  <c:v>43147</c:v>
                </c:pt>
                <c:pt idx="42">
                  <c:v>43154</c:v>
                </c:pt>
                <c:pt idx="43">
                  <c:v>43161</c:v>
                </c:pt>
                <c:pt idx="44">
                  <c:v>43168</c:v>
                </c:pt>
              </c:strCache>
            </c:strRef>
          </c:cat>
          <c:val>
            <c:numRef>
              <c:f>'Weekliks-Weekly'!$H$8:$H$59</c:f>
              <c:numCache>
                <c:ptCount val="52"/>
                <c:pt idx="0">
                  <c:v>2445</c:v>
                </c:pt>
                <c:pt idx="1">
                  <c:v>2441</c:v>
                </c:pt>
                <c:pt idx="2">
                  <c:v>2678</c:v>
                </c:pt>
                <c:pt idx="3">
                  <c:v>3259</c:v>
                </c:pt>
                <c:pt idx="4">
                  <c:v>22088</c:v>
                </c:pt>
                <c:pt idx="5">
                  <c:v>67875</c:v>
                </c:pt>
                <c:pt idx="6">
                  <c:v>28659</c:v>
                </c:pt>
                <c:pt idx="7">
                  <c:v>42845</c:v>
                </c:pt>
                <c:pt idx="8">
                  <c:v>69459</c:v>
                </c:pt>
                <c:pt idx="9">
                  <c:v>23603</c:v>
                </c:pt>
                <c:pt idx="10">
                  <c:v>72835</c:v>
                </c:pt>
                <c:pt idx="11">
                  <c:v>71695</c:v>
                </c:pt>
                <c:pt idx="12">
                  <c:v>78525</c:v>
                </c:pt>
                <c:pt idx="13">
                  <c:v>56962</c:v>
                </c:pt>
                <c:pt idx="14">
                  <c:v>103573</c:v>
                </c:pt>
                <c:pt idx="15">
                  <c:v>59818</c:v>
                </c:pt>
                <c:pt idx="16">
                  <c:v>25841</c:v>
                </c:pt>
                <c:pt idx="17">
                  <c:v>55299</c:v>
                </c:pt>
                <c:pt idx="18">
                  <c:v>2576</c:v>
                </c:pt>
                <c:pt idx="19">
                  <c:v>14882</c:v>
                </c:pt>
                <c:pt idx="20">
                  <c:v>37505</c:v>
                </c:pt>
                <c:pt idx="21">
                  <c:v>3280</c:v>
                </c:pt>
                <c:pt idx="22">
                  <c:v>53804</c:v>
                </c:pt>
                <c:pt idx="23">
                  <c:v>4557</c:v>
                </c:pt>
                <c:pt idx="24">
                  <c:v>2029</c:v>
                </c:pt>
                <c:pt idx="25">
                  <c:v>59100</c:v>
                </c:pt>
                <c:pt idx="26">
                  <c:v>10419</c:v>
                </c:pt>
                <c:pt idx="27">
                  <c:v>50936</c:v>
                </c:pt>
                <c:pt idx="28">
                  <c:v>3560</c:v>
                </c:pt>
                <c:pt idx="29">
                  <c:v>26548</c:v>
                </c:pt>
                <c:pt idx="30">
                  <c:v>58459</c:v>
                </c:pt>
                <c:pt idx="31">
                  <c:v>42875</c:v>
                </c:pt>
                <c:pt idx="32">
                  <c:v>0</c:v>
                </c:pt>
                <c:pt idx="33">
                  <c:v>0</c:v>
                </c:pt>
                <c:pt idx="34">
                  <c:v>47797</c:v>
                </c:pt>
                <c:pt idx="35">
                  <c:v>2084</c:v>
                </c:pt>
                <c:pt idx="36">
                  <c:v>44177</c:v>
                </c:pt>
                <c:pt idx="37">
                  <c:v>13536</c:v>
                </c:pt>
                <c:pt idx="38">
                  <c:v>3858</c:v>
                </c:pt>
                <c:pt idx="39">
                  <c:v>45112</c:v>
                </c:pt>
                <c:pt idx="40">
                  <c:v>22387</c:v>
                </c:pt>
                <c:pt idx="41">
                  <c:v>31688</c:v>
                </c:pt>
                <c:pt idx="42">
                  <c:v>16170</c:v>
                </c:pt>
                <c:pt idx="43">
                  <c:v>5185</c:v>
                </c:pt>
                <c:pt idx="44">
                  <c:v>4498</c:v>
                </c:pt>
              </c:numCache>
            </c:numRef>
          </c:val>
        </c:ser>
        <c:ser>
          <c:idx val="2"/>
          <c:order val="2"/>
          <c:tx>
            <c:strRef>
              <c:f>'Weekliks-Weekly'!$L$5:$L$6</c:f>
              <c:strCache>
                <c:ptCount val="1"/>
                <c:pt idx="0">
                  <c:v>Total / maize Weekliks/Weekly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  <c:pt idx="20">
                  <c:v>43000</c:v>
                </c:pt>
                <c:pt idx="21">
                  <c:v>43007</c:v>
                </c:pt>
                <c:pt idx="22">
                  <c:v>43014</c:v>
                </c:pt>
                <c:pt idx="23">
                  <c:v>43021</c:v>
                </c:pt>
                <c:pt idx="24">
                  <c:v>43028</c:v>
                </c:pt>
                <c:pt idx="25">
                  <c:v>43035</c:v>
                </c:pt>
                <c:pt idx="26">
                  <c:v>43042</c:v>
                </c:pt>
                <c:pt idx="27">
                  <c:v>43049</c:v>
                </c:pt>
                <c:pt idx="28">
                  <c:v>43056</c:v>
                </c:pt>
                <c:pt idx="29">
                  <c:v>43063</c:v>
                </c:pt>
                <c:pt idx="30">
                  <c:v>43070</c:v>
                </c:pt>
                <c:pt idx="31">
                  <c:v>43077</c:v>
                </c:pt>
                <c:pt idx="32">
                  <c:v>43084</c:v>
                </c:pt>
                <c:pt idx="33">
                  <c:v>43091</c:v>
                </c:pt>
                <c:pt idx="34">
                  <c:v>43098</c:v>
                </c:pt>
                <c:pt idx="35">
                  <c:v>43105</c:v>
                </c:pt>
                <c:pt idx="36">
                  <c:v>43112</c:v>
                </c:pt>
                <c:pt idx="37">
                  <c:v>43119</c:v>
                </c:pt>
                <c:pt idx="38">
                  <c:v>43126</c:v>
                </c:pt>
                <c:pt idx="39">
                  <c:v>43133</c:v>
                </c:pt>
                <c:pt idx="40">
                  <c:v>43140</c:v>
                </c:pt>
                <c:pt idx="41">
                  <c:v>43147</c:v>
                </c:pt>
                <c:pt idx="42">
                  <c:v>43154</c:v>
                </c:pt>
                <c:pt idx="43">
                  <c:v>43161</c:v>
                </c:pt>
                <c:pt idx="44">
                  <c:v>43168</c:v>
                </c:pt>
              </c:strCache>
            </c:strRef>
          </c:cat>
          <c:val>
            <c:numRef>
              <c:f>'Weekliks-Weekly'!$L$8:$L$59</c:f>
              <c:numCache>
                <c:ptCount val="52"/>
                <c:pt idx="0">
                  <c:v>13373</c:v>
                </c:pt>
                <c:pt idx="1">
                  <c:v>11647</c:v>
                </c:pt>
                <c:pt idx="2">
                  <c:v>9954</c:v>
                </c:pt>
                <c:pt idx="3">
                  <c:v>13895</c:v>
                </c:pt>
                <c:pt idx="4">
                  <c:v>30810</c:v>
                </c:pt>
                <c:pt idx="5">
                  <c:v>73548</c:v>
                </c:pt>
                <c:pt idx="6">
                  <c:v>63938</c:v>
                </c:pt>
                <c:pt idx="7">
                  <c:v>87337</c:v>
                </c:pt>
                <c:pt idx="8">
                  <c:v>121915</c:v>
                </c:pt>
                <c:pt idx="9">
                  <c:v>32190</c:v>
                </c:pt>
                <c:pt idx="10">
                  <c:v>82559</c:v>
                </c:pt>
                <c:pt idx="11">
                  <c:v>152398</c:v>
                </c:pt>
                <c:pt idx="12">
                  <c:v>114071</c:v>
                </c:pt>
                <c:pt idx="13">
                  <c:v>63722</c:v>
                </c:pt>
                <c:pt idx="14">
                  <c:v>110755</c:v>
                </c:pt>
                <c:pt idx="15">
                  <c:v>71489</c:v>
                </c:pt>
                <c:pt idx="16">
                  <c:v>37666</c:v>
                </c:pt>
                <c:pt idx="17">
                  <c:v>82562</c:v>
                </c:pt>
                <c:pt idx="18">
                  <c:v>8994</c:v>
                </c:pt>
                <c:pt idx="19">
                  <c:v>45040</c:v>
                </c:pt>
                <c:pt idx="20">
                  <c:v>43259</c:v>
                </c:pt>
                <c:pt idx="21">
                  <c:v>30562</c:v>
                </c:pt>
                <c:pt idx="22">
                  <c:v>60708</c:v>
                </c:pt>
                <c:pt idx="23">
                  <c:v>10573</c:v>
                </c:pt>
                <c:pt idx="24">
                  <c:v>10320</c:v>
                </c:pt>
                <c:pt idx="25">
                  <c:v>67941</c:v>
                </c:pt>
                <c:pt idx="26">
                  <c:v>16077</c:v>
                </c:pt>
                <c:pt idx="27">
                  <c:v>58482</c:v>
                </c:pt>
                <c:pt idx="28">
                  <c:v>11659</c:v>
                </c:pt>
                <c:pt idx="29">
                  <c:v>34797</c:v>
                </c:pt>
                <c:pt idx="30">
                  <c:v>63343</c:v>
                </c:pt>
                <c:pt idx="31">
                  <c:v>48382</c:v>
                </c:pt>
                <c:pt idx="32">
                  <c:v>0</c:v>
                </c:pt>
                <c:pt idx="33">
                  <c:v>0</c:v>
                </c:pt>
                <c:pt idx="34">
                  <c:v>67694</c:v>
                </c:pt>
                <c:pt idx="35">
                  <c:v>5327</c:v>
                </c:pt>
                <c:pt idx="36">
                  <c:v>48957</c:v>
                </c:pt>
                <c:pt idx="37">
                  <c:v>20987</c:v>
                </c:pt>
                <c:pt idx="38">
                  <c:v>14220</c:v>
                </c:pt>
                <c:pt idx="39">
                  <c:v>51593</c:v>
                </c:pt>
                <c:pt idx="40">
                  <c:v>29392</c:v>
                </c:pt>
                <c:pt idx="41">
                  <c:v>39742</c:v>
                </c:pt>
                <c:pt idx="42">
                  <c:v>25786</c:v>
                </c:pt>
                <c:pt idx="43">
                  <c:v>14672</c:v>
                </c:pt>
                <c:pt idx="44">
                  <c:v>14010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6826945"/>
        <c:axId val="63007050"/>
      </c:barChart>
      <c:catAx>
        <c:axId val="3682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 / Week ended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7050"/>
        <c:crosses val="autoZero"/>
        <c:auto val="0"/>
        <c:lblOffset val="100"/>
        <c:tickLblSkip val="1"/>
        <c:noMultiLvlLbl val="0"/>
      </c:catAx>
      <c:valAx>
        <c:axId val="63007050"/>
        <c:scaling>
          <c:orientation val="minMax"/>
          <c:max val="1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6945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"/>
          <c:y val="0.1025"/>
          <c:w val="0.727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White Maize for 2017/18 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5425"/>
          <c:w val="0.9585"/>
          <c:h val="0.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06-May-16</c:v>
                  </c:pt>
                  <c:pt idx="1">
                    <c:v>13-May-16</c:v>
                  </c:pt>
                  <c:pt idx="2">
                    <c:v>20-May-16</c:v>
                  </c:pt>
                  <c:pt idx="3">
                    <c:v>27-May-16</c:v>
                  </c:pt>
                  <c:pt idx="4">
                    <c:v>03-Jun-16</c:v>
                  </c:pt>
                  <c:pt idx="5">
                    <c:v>10-Jun-16</c:v>
                  </c:pt>
                  <c:pt idx="6">
                    <c:v>17-Jun-16</c:v>
                  </c:pt>
                  <c:pt idx="7">
                    <c:v>24-Jun-16</c:v>
                  </c:pt>
                  <c:pt idx="8">
                    <c:v>01-Jul-16</c:v>
                  </c:pt>
                  <c:pt idx="9">
                    <c:v>08-Jul-16</c:v>
                  </c:pt>
                  <c:pt idx="10">
                    <c:v>15-Jul-16</c:v>
                  </c:pt>
                  <c:pt idx="11">
                    <c:v>22-Jul-16</c:v>
                  </c:pt>
                  <c:pt idx="12">
                    <c:v>29-Jul-16</c:v>
                  </c:pt>
                  <c:pt idx="13">
                    <c:v>05-Aug-16</c:v>
                  </c:pt>
                  <c:pt idx="14">
                    <c:v>12-Aug-16</c:v>
                  </c:pt>
                  <c:pt idx="15">
                    <c:v>19-Aug-16</c:v>
                  </c:pt>
                  <c:pt idx="16">
                    <c:v>26-Aug-16</c:v>
                  </c:pt>
                  <c:pt idx="17">
                    <c:v>02-Sep-16</c:v>
                  </c:pt>
                  <c:pt idx="18">
                    <c:v>09-Sep-16</c:v>
                  </c:pt>
                  <c:pt idx="19">
                    <c:v>16-Sep-16</c:v>
                  </c:pt>
                  <c:pt idx="20">
                    <c:v>23-Sep-16</c:v>
                  </c:pt>
                  <c:pt idx="21">
                    <c:v>30-Sep-16</c:v>
                  </c:pt>
                  <c:pt idx="22">
                    <c:v>07-Oct-16</c:v>
                  </c:pt>
                  <c:pt idx="23">
                    <c:v>14-Oct-16</c:v>
                  </c:pt>
                  <c:pt idx="24">
                    <c:v>21-Oct-16</c:v>
                  </c:pt>
                  <c:pt idx="25">
                    <c:v>28-Oct-16</c:v>
                  </c:pt>
                  <c:pt idx="26">
                    <c:v>04-Nov-16</c:v>
                  </c:pt>
                  <c:pt idx="27">
                    <c:v>11-Nov-16</c:v>
                  </c:pt>
                  <c:pt idx="28">
                    <c:v>18-Nov-16</c:v>
                  </c:pt>
                  <c:pt idx="29">
                    <c:v>25-Nov-16</c:v>
                  </c:pt>
                  <c:pt idx="30">
                    <c:v>02-Dec-16</c:v>
                  </c:pt>
                  <c:pt idx="31">
                    <c:v>09-Dec-16</c:v>
                  </c:pt>
                  <c:pt idx="32">
                    <c:v>16-Dec-16</c:v>
                  </c:pt>
                  <c:pt idx="33">
                    <c:v>23-Dec-16</c:v>
                  </c:pt>
                  <c:pt idx="34">
                    <c:v>30-Dec-16</c:v>
                  </c:pt>
                  <c:pt idx="35">
                    <c:v>06-Jan-17</c:v>
                  </c:pt>
                  <c:pt idx="36">
                    <c:v>13-Jan-17</c:v>
                  </c:pt>
                  <c:pt idx="37">
                    <c:v>20-Jan-17</c:v>
                  </c:pt>
                  <c:pt idx="38">
                    <c:v>27-Jan-17</c:v>
                  </c:pt>
                  <c:pt idx="39">
                    <c:v>03-Feb-17</c:v>
                  </c:pt>
                  <c:pt idx="40">
                    <c:v>10-Feb-17</c:v>
                  </c:pt>
                  <c:pt idx="41">
                    <c:v>17-Feb-17</c:v>
                  </c:pt>
                  <c:pt idx="42">
                    <c:v>24-Feb-17</c:v>
                  </c:pt>
                  <c:pt idx="43">
                    <c:v>03-Mar-17</c:v>
                  </c:pt>
                  <c:pt idx="44">
                    <c:v>10-Mar-17</c:v>
                  </c:pt>
                  <c:pt idx="45">
                    <c:v>17-Mar-17</c:v>
                  </c:pt>
                  <c:pt idx="46">
                    <c:v>24-Mar-17</c:v>
                  </c:pt>
                  <c:pt idx="47">
                    <c:v>31-Mar-17</c:v>
                  </c:pt>
                  <c:pt idx="48">
                    <c:v>07-Apr-17</c:v>
                  </c:pt>
                  <c:pt idx="49">
                    <c:v>14-Apr-17</c:v>
                  </c:pt>
                  <c:pt idx="50">
                    <c:v>21-Apr-17</c:v>
                  </c:pt>
                  <c:pt idx="51">
                    <c:v>28-Apr-17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Weekly'!$I$8:$I$60</c:f>
              <c:numCache>
                <c:ptCount val="53"/>
                <c:pt idx="0">
                  <c:v>7184</c:v>
                </c:pt>
                <c:pt idx="1">
                  <c:v>17706</c:v>
                </c:pt>
                <c:pt idx="2">
                  <c:v>30245</c:v>
                </c:pt>
                <c:pt idx="3">
                  <c:v>42819</c:v>
                </c:pt>
                <c:pt idx="4">
                  <c:v>54895</c:v>
                </c:pt>
                <c:pt idx="5">
                  <c:v>64647</c:v>
                </c:pt>
                <c:pt idx="6">
                  <c:v>72163</c:v>
                </c:pt>
                <c:pt idx="7">
                  <c:v>86903</c:v>
                </c:pt>
                <c:pt idx="8">
                  <c:v>93720</c:v>
                </c:pt>
                <c:pt idx="9">
                  <c:v>99614</c:v>
                </c:pt>
                <c:pt idx="10">
                  <c:v>105571</c:v>
                </c:pt>
                <c:pt idx="11">
                  <c:v>109064</c:v>
                </c:pt>
                <c:pt idx="12">
                  <c:v>118445</c:v>
                </c:pt>
                <c:pt idx="13">
                  <c:v>125255</c:v>
                </c:pt>
                <c:pt idx="14">
                  <c:v>135652</c:v>
                </c:pt>
                <c:pt idx="15">
                  <c:v>145744</c:v>
                </c:pt>
                <c:pt idx="16">
                  <c:v>160518</c:v>
                </c:pt>
                <c:pt idx="17">
                  <c:v>171233</c:v>
                </c:pt>
                <c:pt idx="18">
                  <c:v>180009</c:v>
                </c:pt>
                <c:pt idx="19">
                  <c:v>188413</c:v>
                </c:pt>
                <c:pt idx="20">
                  <c:v>200078</c:v>
                </c:pt>
                <c:pt idx="21">
                  <c:v>212884</c:v>
                </c:pt>
                <c:pt idx="22">
                  <c:v>220816</c:v>
                </c:pt>
                <c:pt idx="23">
                  <c:v>229976</c:v>
                </c:pt>
                <c:pt idx="24">
                  <c:v>244907</c:v>
                </c:pt>
                <c:pt idx="25">
                  <c:v>256988</c:v>
                </c:pt>
                <c:pt idx="26">
                  <c:v>265548</c:v>
                </c:pt>
                <c:pt idx="27">
                  <c:v>276048</c:v>
                </c:pt>
                <c:pt idx="28">
                  <c:v>286098</c:v>
                </c:pt>
                <c:pt idx="29">
                  <c:v>298992</c:v>
                </c:pt>
                <c:pt idx="30">
                  <c:v>310273</c:v>
                </c:pt>
                <c:pt idx="31">
                  <c:v>310273</c:v>
                </c:pt>
                <c:pt idx="32">
                  <c:v>310273</c:v>
                </c:pt>
                <c:pt idx="33">
                  <c:v>310273</c:v>
                </c:pt>
                <c:pt idx="34">
                  <c:v>338966</c:v>
                </c:pt>
                <c:pt idx="35">
                  <c:v>345411</c:v>
                </c:pt>
                <c:pt idx="36">
                  <c:v>355177</c:v>
                </c:pt>
                <c:pt idx="37">
                  <c:v>363710</c:v>
                </c:pt>
                <c:pt idx="38">
                  <c:v>371396</c:v>
                </c:pt>
                <c:pt idx="39">
                  <c:v>377717</c:v>
                </c:pt>
                <c:pt idx="40">
                  <c:v>388038</c:v>
                </c:pt>
                <c:pt idx="41">
                  <c:v>394826</c:v>
                </c:pt>
                <c:pt idx="42">
                  <c:v>407752</c:v>
                </c:pt>
                <c:pt idx="43">
                  <c:v>418747</c:v>
                </c:pt>
                <c:pt idx="44">
                  <c:v>429403</c:v>
                </c:pt>
                <c:pt idx="45">
                  <c:v>441590</c:v>
                </c:pt>
                <c:pt idx="46">
                  <c:v>453741</c:v>
                </c:pt>
                <c:pt idx="47">
                  <c:v>482455</c:v>
                </c:pt>
                <c:pt idx="48">
                  <c:v>497427</c:v>
                </c:pt>
                <c:pt idx="49">
                  <c:v>507165</c:v>
                </c:pt>
                <c:pt idx="50">
                  <c:v>515641</c:v>
                </c:pt>
                <c:pt idx="51">
                  <c:v>525079</c:v>
                </c:pt>
                <c:pt idx="52">
                  <c:v>536379</c:v>
                </c:pt>
              </c:numCache>
            </c:numRef>
          </c:val>
        </c:ser>
        <c:overlap val="-25"/>
        <c:gapWidth val="75"/>
        <c:axId val="30192539"/>
        <c:axId val="3297396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'Weekliks-Weekly'!$A$8:$B$60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06-Oct-17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03-Nov-17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01-Dec-17</c:v>
                  </c:pt>
                  <c:pt idx="31">
                    <c:v>08-Dec-17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05-Jan-18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02-Feb-18</c:v>
                  </c:pt>
                  <c:pt idx="40">
                    <c:v>09-Feb-18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02-Mar-18</c:v>
                  </c:pt>
                  <c:pt idx="44">
                    <c:v>09-Mar-18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</c:lvl>
              </c:multiLvlStrCache>
            </c:multiLvlStrRef>
          </c:cat>
          <c:val>
            <c:numRef>
              <c:f>'Weekliks-Weekly'!$I$8:$I$60</c:f>
              <c:numCache>
                <c:ptCount val="53"/>
                <c:pt idx="0">
                  <c:v>10928</c:v>
                </c:pt>
                <c:pt idx="1">
                  <c:v>20134</c:v>
                </c:pt>
                <c:pt idx="2">
                  <c:v>27410</c:v>
                </c:pt>
                <c:pt idx="3">
                  <c:v>38046</c:v>
                </c:pt>
                <c:pt idx="4">
                  <c:v>46768</c:v>
                </c:pt>
                <c:pt idx="5">
                  <c:v>52441</c:v>
                </c:pt>
                <c:pt idx="6">
                  <c:v>87720</c:v>
                </c:pt>
                <c:pt idx="7">
                  <c:v>132212</c:v>
                </c:pt>
                <c:pt idx="8">
                  <c:v>184668</c:v>
                </c:pt>
                <c:pt idx="9">
                  <c:v>193255</c:v>
                </c:pt>
                <c:pt idx="10">
                  <c:v>202979</c:v>
                </c:pt>
                <c:pt idx="11">
                  <c:v>283682</c:v>
                </c:pt>
                <c:pt idx="12">
                  <c:v>319228</c:v>
                </c:pt>
                <c:pt idx="13">
                  <c:v>325988</c:v>
                </c:pt>
                <c:pt idx="14">
                  <c:v>333170</c:v>
                </c:pt>
                <c:pt idx="15">
                  <c:v>344841</c:v>
                </c:pt>
                <c:pt idx="16">
                  <c:v>356666</c:v>
                </c:pt>
                <c:pt idx="17">
                  <c:v>383929</c:v>
                </c:pt>
                <c:pt idx="18">
                  <c:v>390347</c:v>
                </c:pt>
                <c:pt idx="19">
                  <c:v>420505</c:v>
                </c:pt>
                <c:pt idx="20">
                  <c:v>426259</c:v>
                </c:pt>
                <c:pt idx="21">
                  <c:v>453541</c:v>
                </c:pt>
                <c:pt idx="22">
                  <c:v>460445</c:v>
                </c:pt>
                <c:pt idx="23">
                  <c:v>466461</c:v>
                </c:pt>
                <c:pt idx="24">
                  <c:v>474752</c:v>
                </c:pt>
                <c:pt idx="25">
                  <c:v>483593</c:v>
                </c:pt>
                <c:pt idx="26">
                  <c:v>489251</c:v>
                </c:pt>
                <c:pt idx="27">
                  <c:v>496797</c:v>
                </c:pt>
                <c:pt idx="28">
                  <c:v>504896</c:v>
                </c:pt>
                <c:pt idx="29">
                  <c:v>513145</c:v>
                </c:pt>
                <c:pt idx="30">
                  <c:v>518029</c:v>
                </c:pt>
                <c:pt idx="31">
                  <c:v>523536</c:v>
                </c:pt>
                <c:pt idx="32">
                  <c:v>523536</c:v>
                </c:pt>
                <c:pt idx="33">
                  <c:v>523536</c:v>
                </c:pt>
                <c:pt idx="34">
                  <c:v>543433</c:v>
                </c:pt>
                <c:pt idx="35">
                  <c:v>546676</c:v>
                </c:pt>
                <c:pt idx="36">
                  <c:v>551456</c:v>
                </c:pt>
                <c:pt idx="37">
                  <c:v>558907</c:v>
                </c:pt>
                <c:pt idx="38">
                  <c:v>569269</c:v>
                </c:pt>
                <c:pt idx="39">
                  <c:v>575750</c:v>
                </c:pt>
                <c:pt idx="40">
                  <c:v>582755</c:v>
                </c:pt>
                <c:pt idx="41">
                  <c:v>590809</c:v>
                </c:pt>
                <c:pt idx="42">
                  <c:v>600425</c:v>
                </c:pt>
                <c:pt idx="43">
                  <c:v>609912</c:v>
                </c:pt>
                <c:pt idx="44">
                  <c:v>619424</c:v>
                </c:pt>
                <c:pt idx="45">
                  <c:v>619424</c:v>
                </c:pt>
                <c:pt idx="46">
                  <c:v>619424</c:v>
                </c:pt>
                <c:pt idx="47">
                  <c:v>619424</c:v>
                </c:pt>
                <c:pt idx="48">
                  <c:v>619424</c:v>
                </c:pt>
                <c:pt idx="49">
                  <c:v>619424</c:v>
                </c:pt>
                <c:pt idx="50">
                  <c:v>619424</c:v>
                </c:pt>
                <c:pt idx="51">
                  <c:v>619424</c:v>
                </c:pt>
              </c:numCache>
            </c:numRef>
          </c:val>
          <c:smooth val="0"/>
        </c:ser>
        <c:axId val="30192539"/>
        <c:axId val="3297396"/>
      </c:lineChart>
      <c:catAx>
        <c:axId val="30192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96"/>
        <c:crosses val="autoZero"/>
        <c:auto val="1"/>
        <c:lblOffset val="100"/>
        <c:tickLblSkip val="1"/>
        <c:noMultiLvlLbl val="0"/>
      </c:catAx>
      <c:valAx>
        <c:axId val="3297396"/>
        <c:scaling>
          <c:orientation val="minMax"/>
          <c:max val="6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92539"/>
        <c:crosses val="max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91625"/>
          <c:w val="0.991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 Maize for 2017/18</a:t>
            </a:r>
          </a:p>
        </c:rich>
      </c:tx>
      <c:layout>
        <c:manualLayout>
          <c:xMode val="factor"/>
          <c:yMode val="factor"/>
          <c:x val="-0.061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88"/>
          <c:w val="0.94675"/>
          <c:h val="0.70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06-May-16</c:v>
                  </c:pt>
                  <c:pt idx="1">
                    <c:v>13-May-16</c:v>
                  </c:pt>
                  <c:pt idx="2">
                    <c:v>20-May-16</c:v>
                  </c:pt>
                  <c:pt idx="3">
                    <c:v>27-May-16</c:v>
                  </c:pt>
                  <c:pt idx="4">
                    <c:v>03-Jun-16</c:v>
                  </c:pt>
                  <c:pt idx="5">
                    <c:v>10-Jun-16</c:v>
                  </c:pt>
                  <c:pt idx="6">
                    <c:v>17-Jun-16</c:v>
                  </c:pt>
                  <c:pt idx="7">
                    <c:v>24-Jun-16</c:v>
                  </c:pt>
                  <c:pt idx="8">
                    <c:v>01-Jul-16</c:v>
                  </c:pt>
                  <c:pt idx="9">
                    <c:v>08-Jul-16</c:v>
                  </c:pt>
                  <c:pt idx="10">
                    <c:v>15-Jul-16</c:v>
                  </c:pt>
                  <c:pt idx="11">
                    <c:v>22-Jul-16</c:v>
                  </c:pt>
                  <c:pt idx="12">
                    <c:v>29-Jul-16</c:v>
                  </c:pt>
                  <c:pt idx="13">
                    <c:v>05-Aug-16</c:v>
                  </c:pt>
                  <c:pt idx="14">
                    <c:v>12-Aug-16</c:v>
                  </c:pt>
                  <c:pt idx="15">
                    <c:v>19-Aug-16</c:v>
                  </c:pt>
                  <c:pt idx="16">
                    <c:v>26-Aug-16</c:v>
                  </c:pt>
                  <c:pt idx="17">
                    <c:v>02-Sep-16</c:v>
                  </c:pt>
                  <c:pt idx="18">
                    <c:v>09-Sep-16</c:v>
                  </c:pt>
                  <c:pt idx="19">
                    <c:v>16-Sep-16</c:v>
                  </c:pt>
                  <c:pt idx="20">
                    <c:v>23-Sep-16</c:v>
                  </c:pt>
                  <c:pt idx="21">
                    <c:v>30-Sep-16</c:v>
                  </c:pt>
                  <c:pt idx="22">
                    <c:v>07-Oct-16</c:v>
                  </c:pt>
                  <c:pt idx="23">
                    <c:v>14-Oct-16</c:v>
                  </c:pt>
                  <c:pt idx="24">
                    <c:v>21-Oct-16</c:v>
                  </c:pt>
                  <c:pt idx="25">
                    <c:v>28-Oct-16</c:v>
                  </c:pt>
                  <c:pt idx="26">
                    <c:v>04-Nov-16</c:v>
                  </c:pt>
                  <c:pt idx="27">
                    <c:v>11-Nov-16</c:v>
                  </c:pt>
                  <c:pt idx="28">
                    <c:v>18-Nov-16</c:v>
                  </c:pt>
                  <c:pt idx="29">
                    <c:v>25-Nov-16</c:v>
                  </c:pt>
                  <c:pt idx="30">
                    <c:v>02-Dec-16</c:v>
                  </c:pt>
                  <c:pt idx="31">
                    <c:v>09-Dec-16</c:v>
                  </c:pt>
                  <c:pt idx="32">
                    <c:v>16-Dec-16</c:v>
                  </c:pt>
                  <c:pt idx="33">
                    <c:v>23-Dec-16</c:v>
                  </c:pt>
                  <c:pt idx="34">
                    <c:v>30-Dec-16</c:v>
                  </c:pt>
                  <c:pt idx="35">
                    <c:v>06-Jan-17</c:v>
                  </c:pt>
                  <c:pt idx="36">
                    <c:v>13-Jan-17</c:v>
                  </c:pt>
                  <c:pt idx="37">
                    <c:v>20-Jan-17</c:v>
                  </c:pt>
                  <c:pt idx="38">
                    <c:v>27-Jan-17</c:v>
                  </c:pt>
                  <c:pt idx="39">
                    <c:v>03-Feb-17</c:v>
                  </c:pt>
                  <c:pt idx="40">
                    <c:v>10-Feb-17</c:v>
                  </c:pt>
                  <c:pt idx="41">
                    <c:v>17-Feb-17</c:v>
                  </c:pt>
                  <c:pt idx="42">
                    <c:v>24-Feb-17</c:v>
                  </c:pt>
                  <c:pt idx="43">
                    <c:v>03-Mar-17</c:v>
                  </c:pt>
                  <c:pt idx="44">
                    <c:v>10-Mar-17</c:v>
                  </c:pt>
                  <c:pt idx="45">
                    <c:v>17-Mar-17</c:v>
                  </c:pt>
                  <c:pt idx="46">
                    <c:v>24-Mar-17</c:v>
                  </c:pt>
                  <c:pt idx="47">
                    <c:v>31-Mar-17</c:v>
                  </c:pt>
                  <c:pt idx="48">
                    <c:v>07-Apr-17</c:v>
                  </c:pt>
                  <c:pt idx="49">
                    <c:v>14-Apr-17</c:v>
                  </c:pt>
                  <c:pt idx="50">
                    <c:v>21-Apr-17</c:v>
                  </c:pt>
                  <c:pt idx="51">
                    <c:v>28-Apr-17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Weekly'!$N$8:$N$60</c:f>
              <c:numCache>
                <c:ptCount val="53"/>
                <c:pt idx="0">
                  <c:v>10452</c:v>
                </c:pt>
                <c:pt idx="1">
                  <c:v>24695</c:v>
                </c:pt>
                <c:pt idx="2">
                  <c:v>41894</c:v>
                </c:pt>
                <c:pt idx="3">
                  <c:v>64934</c:v>
                </c:pt>
                <c:pt idx="4">
                  <c:v>80202</c:v>
                </c:pt>
                <c:pt idx="5">
                  <c:v>94740</c:v>
                </c:pt>
                <c:pt idx="6">
                  <c:v>106257</c:v>
                </c:pt>
                <c:pt idx="7">
                  <c:v>129415</c:v>
                </c:pt>
                <c:pt idx="8">
                  <c:v>142283</c:v>
                </c:pt>
                <c:pt idx="9">
                  <c:v>152638</c:v>
                </c:pt>
                <c:pt idx="10">
                  <c:v>163914</c:v>
                </c:pt>
                <c:pt idx="11">
                  <c:v>170920</c:v>
                </c:pt>
                <c:pt idx="12">
                  <c:v>185369</c:v>
                </c:pt>
                <c:pt idx="13">
                  <c:v>196355</c:v>
                </c:pt>
                <c:pt idx="14">
                  <c:v>211041</c:v>
                </c:pt>
                <c:pt idx="15">
                  <c:v>225599</c:v>
                </c:pt>
                <c:pt idx="16">
                  <c:v>245387</c:v>
                </c:pt>
                <c:pt idx="17">
                  <c:v>259395</c:v>
                </c:pt>
                <c:pt idx="18">
                  <c:v>272897</c:v>
                </c:pt>
                <c:pt idx="19">
                  <c:v>286847</c:v>
                </c:pt>
                <c:pt idx="20">
                  <c:v>302462</c:v>
                </c:pt>
                <c:pt idx="21">
                  <c:v>320529</c:v>
                </c:pt>
                <c:pt idx="22">
                  <c:v>335925</c:v>
                </c:pt>
                <c:pt idx="23">
                  <c:v>350860</c:v>
                </c:pt>
                <c:pt idx="24">
                  <c:v>373466</c:v>
                </c:pt>
                <c:pt idx="25">
                  <c:v>395486</c:v>
                </c:pt>
                <c:pt idx="26">
                  <c:v>413169</c:v>
                </c:pt>
                <c:pt idx="27">
                  <c:v>431762</c:v>
                </c:pt>
                <c:pt idx="28">
                  <c:v>450665</c:v>
                </c:pt>
                <c:pt idx="29">
                  <c:v>472020</c:v>
                </c:pt>
                <c:pt idx="30">
                  <c:v>493352</c:v>
                </c:pt>
                <c:pt idx="31">
                  <c:v>493352</c:v>
                </c:pt>
                <c:pt idx="32">
                  <c:v>493352</c:v>
                </c:pt>
                <c:pt idx="33">
                  <c:v>493352</c:v>
                </c:pt>
                <c:pt idx="34">
                  <c:v>547307</c:v>
                </c:pt>
                <c:pt idx="35">
                  <c:v>558685</c:v>
                </c:pt>
                <c:pt idx="36">
                  <c:v>574210</c:v>
                </c:pt>
                <c:pt idx="37">
                  <c:v>587666</c:v>
                </c:pt>
                <c:pt idx="38">
                  <c:v>602619</c:v>
                </c:pt>
                <c:pt idx="39">
                  <c:v>615010</c:v>
                </c:pt>
                <c:pt idx="40">
                  <c:v>631453</c:v>
                </c:pt>
                <c:pt idx="41">
                  <c:v>643697</c:v>
                </c:pt>
                <c:pt idx="42">
                  <c:v>662922</c:v>
                </c:pt>
                <c:pt idx="43">
                  <c:v>678196</c:v>
                </c:pt>
                <c:pt idx="44">
                  <c:v>693751</c:v>
                </c:pt>
                <c:pt idx="45">
                  <c:v>710194</c:v>
                </c:pt>
                <c:pt idx="46">
                  <c:v>726204</c:v>
                </c:pt>
                <c:pt idx="47">
                  <c:v>759709</c:v>
                </c:pt>
                <c:pt idx="48">
                  <c:v>777379</c:v>
                </c:pt>
                <c:pt idx="49">
                  <c:v>790463</c:v>
                </c:pt>
                <c:pt idx="50">
                  <c:v>801617</c:v>
                </c:pt>
                <c:pt idx="51">
                  <c:v>814219</c:v>
                </c:pt>
                <c:pt idx="52">
                  <c:v>830297</c:v>
                </c:pt>
              </c:numCache>
            </c:numRef>
          </c:val>
        </c:ser>
        <c:gapWidth val="74"/>
        <c:axId val="29676565"/>
        <c:axId val="65762494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'Weekliks-Weekly'!$A$8:$B$60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06-Oct-17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03-Nov-17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01-Dec-17</c:v>
                  </c:pt>
                  <c:pt idx="31">
                    <c:v>08-Dec-17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05-Jan-18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02-Feb-18</c:v>
                  </c:pt>
                  <c:pt idx="40">
                    <c:v>09-Feb-18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02-Mar-18</c:v>
                  </c:pt>
                  <c:pt idx="44">
                    <c:v>09-Mar-18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</c:lvl>
              </c:multiLvlStrCache>
            </c:multiLvlStrRef>
          </c:cat>
          <c:val>
            <c:numRef>
              <c:f>'Weekliks-Weekly'!$N$8:$N$60</c:f>
              <c:numCache>
                <c:ptCount val="53"/>
                <c:pt idx="0">
                  <c:v>13373</c:v>
                </c:pt>
                <c:pt idx="1">
                  <c:v>25020</c:v>
                </c:pt>
                <c:pt idx="2">
                  <c:v>34974</c:v>
                </c:pt>
                <c:pt idx="3">
                  <c:v>48869</c:v>
                </c:pt>
                <c:pt idx="4">
                  <c:v>79679</c:v>
                </c:pt>
                <c:pt idx="5">
                  <c:v>153227</c:v>
                </c:pt>
                <c:pt idx="6">
                  <c:v>217165</c:v>
                </c:pt>
                <c:pt idx="7">
                  <c:v>304502</c:v>
                </c:pt>
                <c:pt idx="8">
                  <c:v>426417</c:v>
                </c:pt>
                <c:pt idx="9">
                  <c:v>458607</c:v>
                </c:pt>
                <c:pt idx="10">
                  <c:v>541166</c:v>
                </c:pt>
                <c:pt idx="11">
                  <c:v>693564</c:v>
                </c:pt>
                <c:pt idx="12">
                  <c:v>807635</c:v>
                </c:pt>
                <c:pt idx="13">
                  <c:v>871357</c:v>
                </c:pt>
                <c:pt idx="14">
                  <c:v>982112</c:v>
                </c:pt>
                <c:pt idx="15">
                  <c:v>1053601</c:v>
                </c:pt>
                <c:pt idx="16">
                  <c:v>1091267</c:v>
                </c:pt>
                <c:pt idx="17">
                  <c:v>1173829</c:v>
                </c:pt>
                <c:pt idx="18">
                  <c:v>1182823</c:v>
                </c:pt>
                <c:pt idx="19">
                  <c:v>1227863</c:v>
                </c:pt>
                <c:pt idx="20">
                  <c:v>1271122</c:v>
                </c:pt>
                <c:pt idx="21">
                  <c:v>1301684</c:v>
                </c:pt>
                <c:pt idx="22">
                  <c:v>1362392</c:v>
                </c:pt>
                <c:pt idx="23">
                  <c:v>1372965</c:v>
                </c:pt>
                <c:pt idx="24">
                  <c:v>1383285</c:v>
                </c:pt>
                <c:pt idx="25">
                  <c:v>1451226</c:v>
                </c:pt>
                <c:pt idx="26">
                  <c:v>1467303</c:v>
                </c:pt>
                <c:pt idx="27">
                  <c:v>1525785</c:v>
                </c:pt>
                <c:pt idx="28">
                  <c:v>1537444</c:v>
                </c:pt>
                <c:pt idx="29">
                  <c:v>1572241</c:v>
                </c:pt>
                <c:pt idx="30">
                  <c:v>1635584</c:v>
                </c:pt>
                <c:pt idx="31">
                  <c:v>1683966</c:v>
                </c:pt>
                <c:pt idx="32">
                  <c:v>1683966</c:v>
                </c:pt>
                <c:pt idx="33">
                  <c:v>1683966</c:v>
                </c:pt>
                <c:pt idx="34">
                  <c:v>1751660</c:v>
                </c:pt>
                <c:pt idx="35">
                  <c:v>1756987</c:v>
                </c:pt>
                <c:pt idx="36">
                  <c:v>1805944</c:v>
                </c:pt>
                <c:pt idx="37">
                  <c:v>1826931</c:v>
                </c:pt>
                <c:pt idx="38">
                  <c:v>1841151</c:v>
                </c:pt>
                <c:pt idx="39">
                  <c:v>1892744</c:v>
                </c:pt>
                <c:pt idx="40">
                  <c:v>1922136</c:v>
                </c:pt>
                <c:pt idx="41">
                  <c:v>1961878</c:v>
                </c:pt>
                <c:pt idx="42">
                  <c:v>1987664</c:v>
                </c:pt>
                <c:pt idx="43">
                  <c:v>2002336</c:v>
                </c:pt>
                <c:pt idx="44">
                  <c:v>2016346</c:v>
                </c:pt>
                <c:pt idx="45">
                  <c:v>2016346</c:v>
                </c:pt>
                <c:pt idx="46">
                  <c:v>2016346</c:v>
                </c:pt>
                <c:pt idx="47">
                  <c:v>2016346</c:v>
                </c:pt>
                <c:pt idx="48">
                  <c:v>2016346</c:v>
                </c:pt>
                <c:pt idx="49">
                  <c:v>2016346</c:v>
                </c:pt>
                <c:pt idx="50">
                  <c:v>2016346</c:v>
                </c:pt>
                <c:pt idx="51">
                  <c:v>2016346</c:v>
                </c:pt>
              </c:numCache>
            </c:numRef>
          </c:val>
          <c:smooth val="0"/>
        </c:ser>
        <c:axId val="29676565"/>
        <c:axId val="65762494"/>
      </c:line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  <c:max val="2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0.24425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6565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"/>
          <c:y val="0.852"/>
          <c:w val="0.996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 Bemarkingseisoen/ Marketing season</a:t>
            </a:r>
          </a:p>
        </c:rich>
      </c:tx>
      <c:layout>
        <c:manualLayout>
          <c:xMode val="factor"/>
          <c:yMode val="factor"/>
          <c:x val="-0.029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795"/>
          <c:w val="0.9397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  <c:pt idx="20">
                  <c:v>43000</c:v>
                </c:pt>
                <c:pt idx="21">
                  <c:v>43007</c:v>
                </c:pt>
                <c:pt idx="22">
                  <c:v>43014</c:v>
                </c:pt>
                <c:pt idx="23">
                  <c:v>43021</c:v>
                </c:pt>
                <c:pt idx="24">
                  <c:v>43028</c:v>
                </c:pt>
                <c:pt idx="25">
                  <c:v>43035</c:v>
                </c:pt>
                <c:pt idx="26">
                  <c:v>43042</c:v>
                </c:pt>
                <c:pt idx="27">
                  <c:v>43049</c:v>
                </c:pt>
                <c:pt idx="28">
                  <c:v>43056</c:v>
                </c:pt>
                <c:pt idx="29">
                  <c:v>43063</c:v>
                </c:pt>
                <c:pt idx="30">
                  <c:v>43070</c:v>
                </c:pt>
                <c:pt idx="31">
                  <c:v>43077</c:v>
                </c:pt>
                <c:pt idx="32">
                  <c:v>43084</c:v>
                </c:pt>
                <c:pt idx="33">
                  <c:v>43091</c:v>
                </c:pt>
                <c:pt idx="34">
                  <c:v>43098</c:v>
                </c:pt>
                <c:pt idx="35">
                  <c:v>43105</c:v>
                </c:pt>
                <c:pt idx="36">
                  <c:v>43112</c:v>
                </c:pt>
                <c:pt idx="37">
                  <c:v>43119</c:v>
                </c:pt>
                <c:pt idx="38">
                  <c:v>43126</c:v>
                </c:pt>
                <c:pt idx="39">
                  <c:v>43133</c:v>
                </c:pt>
                <c:pt idx="40">
                  <c:v>43140</c:v>
                </c:pt>
                <c:pt idx="41">
                  <c:v>43147</c:v>
                </c:pt>
                <c:pt idx="42">
                  <c:v>43154</c:v>
                </c:pt>
                <c:pt idx="43">
                  <c:v>43161</c:v>
                </c:pt>
                <c:pt idx="44">
                  <c:v>43168</c:v>
                </c:pt>
              </c:strCache>
            </c:strRef>
          </c:cat>
          <c:val>
            <c:numRef>
              <c:f>'Weekliks-Weekly'!$N$8:$N$59</c:f>
              <c:numCache>
                <c:ptCount val="52"/>
                <c:pt idx="0">
                  <c:v>13373</c:v>
                </c:pt>
                <c:pt idx="1">
                  <c:v>25020</c:v>
                </c:pt>
                <c:pt idx="2">
                  <c:v>34974</c:v>
                </c:pt>
                <c:pt idx="3">
                  <c:v>48869</c:v>
                </c:pt>
                <c:pt idx="4">
                  <c:v>79679</c:v>
                </c:pt>
                <c:pt idx="5">
                  <c:v>153227</c:v>
                </c:pt>
                <c:pt idx="6">
                  <c:v>217165</c:v>
                </c:pt>
                <c:pt idx="7">
                  <c:v>304502</c:v>
                </c:pt>
                <c:pt idx="8">
                  <c:v>426417</c:v>
                </c:pt>
                <c:pt idx="9">
                  <c:v>458607</c:v>
                </c:pt>
                <c:pt idx="10">
                  <c:v>541166</c:v>
                </c:pt>
                <c:pt idx="11">
                  <c:v>693564</c:v>
                </c:pt>
                <c:pt idx="12">
                  <c:v>807635</c:v>
                </c:pt>
                <c:pt idx="13">
                  <c:v>871357</c:v>
                </c:pt>
                <c:pt idx="14">
                  <c:v>982112</c:v>
                </c:pt>
                <c:pt idx="15">
                  <c:v>1053601</c:v>
                </c:pt>
                <c:pt idx="16">
                  <c:v>1091267</c:v>
                </c:pt>
                <c:pt idx="17">
                  <c:v>1173829</c:v>
                </c:pt>
                <c:pt idx="18">
                  <c:v>1182823</c:v>
                </c:pt>
                <c:pt idx="19">
                  <c:v>1227863</c:v>
                </c:pt>
                <c:pt idx="20">
                  <c:v>1271122</c:v>
                </c:pt>
                <c:pt idx="21">
                  <c:v>1301684</c:v>
                </c:pt>
                <c:pt idx="22">
                  <c:v>1362392</c:v>
                </c:pt>
                <c:pt idx="23">
                  <c:v>1372965</c:v>
                </c:pt>
                <c:pt idx="24">
                  <c:v>1383285</c:v>
                </c:pt>
                <c:pt idx="25">
                  <c:v>1451226</c:v>
                </c:pt>
                <c:pt idx="26">
                  <c:v>1467303</c:v>
                </c:pt>
                <c:pt idx="27">
                  <c:v>1525785</c:v>
                </c:pt>
                <c:pt idx="28">
                  <c:v>1537444</c:v>
                </c:pt>
                <c:pt idx="29">
                  <c:v>1572241</c:v>
                </c:pt>
                <c:pt idx="30">
                  <c:v>1635584</c:v>
                </c:pt>
                <c:pt idx="31">
                  <c:v>1683966</c:v>
                </c:pt>
                <c:pt idx="32">
                  <c:v>1683966</c:v>
                </c:pt>
                <c:pt idx="33">
                  <c:v>1683966</c:v>
                </c:pt>
                <c:pt idx="34">
                  <c:v>1751660</c:v>
                </c:pt>
                <c:pt idx="35">
                  <c:v>1756987</c:v>
                </c:pt>
                <c:pt idx="36">
                  <c:v>1805944</c:v>
                </c:pt>
                <c:pt idx="37">
                  <c:v>1826931</c:v>
                </c:pt>
                <c:pt idx="38">
                  <c:v>1841151</c:v>
                </c:pt>
                <c:pt idx="39">
                  <c:v>1892744</c:v>
                </c:pt>
                <c:pt idx="40">
                  <c:v>1922136</c:v>
                </c:pt>
                <c:pt idx="41">
                  <c:v>1961878</c:v>
                </c:pt>
                <c:pt idx="42">
                  <c:v>1987664</c:v>
                </c:pt>
                <c:pt idx="43">
                  <c:v>2002336</c:v>
                </c:pt>
                <c:pt idx="44">
                  <c:v>2016346</c:v>
                </c:pt>
                <c:pt idx="45">
                  <c:v>2016346</c:v>
                </c:pt>
                <c:pt idx="46">
                  <c:v>2016346</c:v>
                </c:pt>
                <c:pt idx="47">
                  <c:v>2016346</c:v>
                </c:pt>
                <c:pt idx="48">
                  <c:v>2016346</c:v>
                </c:pt>
                <c:pt idx="49">
                  <c:v>2016346</c:v>
                </c:pt>
                <c:pt idx="50">
                  <c:v>2016346</c:v>
                </c:pt>
                <c:pt idx="51">
                  <c:v>2016346</c:v>
                </c:pt>
              </c:numCache>
            </c:numRef>
          </c:val>
          <c:smooth val="0"/>
        </c:ser>
        <c:marker val="1"/>
        <c:axId val="54991535"/>
        <c:axId val="25161768"/>
      </c:lineChart>
      <c:dateAx>
        <c:axId val="5499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17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161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15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15525"/>
          <c:w val="0.716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Kumulatiewe Invoere van Mielies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Kumulative Imports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Bemarkingseisoen/ Marketing season</a:t>
            </a:r>
          </a:p>
        </c:rich>
      </c:tx>
      <c:layout>
        <c:manualLayout>
          <c:xMode val="factor"/>
          <c:yMode val="factor"/>
          <c:x val="-0.03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445"/>
          <c:w val="0.948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'Weekliks-Weekly'!$E$5</c:f>
              <c:strCache>
                <c:ptCount val="1"/>
                <c:pt idx="0">
                  <c:v>Wit/White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  <c:pt idx="20">
                  <c:v>43000</c:v>
                </c:pt>
                <c:pt idx="21">
                  <c:v>43007</c:v>
                </c:pt>
                <c:pt idx="22">
                  <c:v>43014</c:v>
                </c:pt>
                <c:pt idx="23">
                  <c:v>43021</c:v>
                </c:pt>
                <c:pt idx="24">
                  <c:v>43028</c:v>
                </c:pt>
                <c:pt idx="25">
                  <c:v>43035</c:v>
                </c:pt>
                <c:pt idx="26">
                  <c:v>43042</c:v>
                </c:pt>
                <c:pt idx="27">
                  <c:v>43049</c:v>
                </c:pt>
                <c:pt idx="28">
                  <c:v>43056</c:v>
                </c:pt>
                <c:pt idx="29">
                  <c:v>43063</c:v>
                </c:pt>
                <c:pt idx="30">
                  <c:v>43070</c:v>
                </c:pt>
                <c:pt idx="31">
                  <c:v>43077</c:v>
                </c:pt>
                <c:pt idx="32">
                  <c:v>43084</c:v>
                </c:pt>
                <c:pt idx="33">
                  <c:v>43091</c:v>
                </c:pt>
                <c:pt idx="34">
                  <c:v>43098</c:v>
                </c:pt>
                <c:pt idx="35">
                  <c:v>43105</c:v>
                </c:pt>
                <c:pt idx="36">
                  <c:v>43112</c:v>
                </c:pt>
                <c:pt idx="37">
                  <c:v>43119</c:v>
                </c:pt>
                <c:pt idx="38">
                  <c:v>43126</c:v>
                </c:pt>
                <c:pt idx="39">
                  <c:v>43133</c:v>
                </c:pt>
                <c:pt idx="40">
                  <c:v>43140</c:v>
                </c:pt>
                <c:pt idx="41">
                  <c:v>43147</c:v>
                </c:pt>
                <c:pt idx="42">
                  <c:v>43154</c:v>
                </c:pt>
                <c:pt idx="43">
                  <c:v>43161</c:v>
                </c:pt>
                <c:pt idx="44">
                  <c:v>43168</c:v>
                </c:pt>
              </c:strCache>
            </c:strRef>
          </c:cat>
          <c:val>
            <c:numRef>
              <c:f>'Weekliks-Weekly'!$E$8:$E$59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'Weekliks-Weekly'!$F$5</c:f>
              <c:strCache>
                <c:ptCount val="1"/>
                <c:pt idx="0">
                  <c:v>Geel/Yellow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  <c:pt idx="20">
                  <c:v>43000</c:v>
                </c:pt>
                <c:pt idx="21">
                  <c:v>43007</c:v>
                </c:pt>
                <c:pt idx="22">
                  <c:v>43014</c:v>
                </c:pt>
                <c:pt idx="23">
                  <c:v>43021</c:v>
                </c:pt>
                <c:pt idx="24">
                  <c:v>43028</c:v>
                </c:pt>
                <c:pt idx="25">
                  <c:v>43035</c:v>
                </c:pt>
                <c:pt idx="26">
                  <c:v>43042</c:v>
                </c:pt>
                <c:pt idx="27">
                  <c:v>43049</c:v>
                </c:pt>
                <c:pt idx="28">
                  <c:v>43056</c:v>
                </c:pt>
                <c:pt idx="29">
                  <c:v>43063</c:v>
                </c:pt>
                <c:pt idx="30">
                  <c:v>43070</c:v>
                </c:pt>
                <c:pt idx="31">
                  <c:v>43077</c:v>
                </c:pt>
                <c:pt idx="32">
                  <c:v>43084</c:v>
                </c:pt>
                <c:pt idx="33">
                  <c:v>43091</c:v>
                </c:pt>
                <c:pt idx="34">
                  <c:v>43098</c:v>
                </c:pt>
                <c:pt idx="35">
                  <c:v>43105</c:v>
                </c:pt>
                <c:pt idx="36">
                  <c:v>43112</c:v>
                </c:pt>
                <c:pt idx="37">
                  <c:v>43119</c:v>
                </c:pt>
                <c:pt idx="38">
                  <c:v>43126</c:v>
                </c:pt>
                <c:pt idx="39">
                  <c:v>43133</c:v>
                </c:pt>
                <c:pt idx="40">
                  <c:v>43140</c:v>
                </c:pt>
                <c:pt idx="41">
                  <c:v>43147</c:v>
                </c:pt>
                <c:pt idx="42">
                  <c:v>43154</c:v>
                </c:pt>
                <c:pt idx="43">
                  <c:v>43161</c:v>
                </c:pt>
                <c:pt idx="44">
                  <c:v>43168</c:v>
                </c:pt>
              </c:strCache>
            </c:strRef>
          </c:cat>
          <c:val>
            <c:numRef>
              <c:f>'Weekliks-Weekly'!$F$8:$F$59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'Weekliks-Weekly'!$M$5</c:f>
              <c:strCache>
                <c:ptCount val="1"/>
                <c:pt idx="0">
                  <c:v>Totaal mielies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  <c:pt idx="11">
                  <c:v>42937</c:v>
                </c:pt>
                <c:pt idx="12">
                  <c:v>42944</c:v>
                </c:pt>
                <c:pt idx="13">
                  <c:v>42951</c:v>
                </c:pt>
                <c:pt idx="14">
                  <c:v>42958</c:v>
                </c:pt>
                <c:pt idx="15">
                  <c:v>42965</c:v>
                </c:pt>
                <c:pt idx="16">
                  <c:v>42972</c:v>
                </c:pt>
                <c:pt idx="17">
                  <c:v>42979</c:v>
                </c:pt>
                <c:pt idx="18">
                  <c:v>42986</c:v>
                </c:pt>
                <c:pt idx="19">
                  <c:v>42993</c:v>
                </c:pt>
                <c:pt idx="20">
                  <c:v>43000</c:v>
                </c:pt>
                <c:pt idx="21">
                  <c:v>43007</c:v>
                </c:pt>
                <c:pt idx="22">
                  <c:v>43014</c:v>
                </c:pt>
                <c:pt idx="23">
                  <c:v>43021</c:v>
                </c:pt>
                <c:pt idx="24">
                  <c:v>43028</c:v>
                </c:pt>
                <c:pt idx="25">
                  <c:v>43035</c:v>
                </c:pt>
                <c:pt idx="26">
                  <c:v>43042</c:v>
                </c:pt>
                <c:pt idx="27">
                  <c:v>43049</c:v>
                </c:pt>
                <c:pt idx="28">
                  <c:v>43056</c:v>
                </c:pt>
                <c:pt idx="29">
                  <c:v>43063</c:v>
                </c:pt>
                <c:pt idx="30">
                  <c:v>43070</c:v>
                </c:pt>
                <c:pt idx="31">
                  <c:v>43077</c:v>
                </c:pt>
                <c:pt idx="32">
                  <c:v>43084</c:v>
                </c:pt>
                <c:pt idx="33">
                  <c:v>43091</c:v>
                </c:pt>
                <c:pt idx="34">
                  <c:v>43098</c:v>
                </c:pt>
                <c:pt idx="35">
                  <c:v>43105</c:v>
                </c:pt>
                <c:pt idx="36">
                  <c:v>43112</c:v>
                </c:pt>
                <c:pt idx="37">
                  <c:v>43119</c:v>
                </c:pt>
                <c:pt idx="38">
                  <c:v>43126</c:v>
                </c:pt>
                <c:pt idx="39">
                  <c:v>43133</c:v>
                </c:pt>
                <c:pt idx="40">
                  <c:v>43140</c:v>
                </c:pt>
                <c:pt idx="41">
                  <c:v>43147</c:v>
                </c:pt>
                <c:pt idx="42">
                  <c:v>43154</c:v>
                </c:pt>
                <c:pt idx="43">
                  <c:v>43161</c:v>
                </c:pt>
                <c:pt idx="44">
                  <c:v>43168</c:v>
                </c:pt>
              </c:strCache>
            </c:strRef>
          </c:cat>
          <c:val>
            <c:numRef>
              <c:f>'Weekliks-Weekly'!$M$8:$M$59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129321"/>
        <c:axId val="24837298"/>
      </c:lineChart>
      <c:dateAx>
        <c:axId val="25129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2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83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57"/>
          <c:w val="0.866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0.83375</cdr:y>
    </cdr:from>
    <cdr:to>
      <cdr:x>0.9905</cdr:x>
      <cdr:y>0.984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24525" y="5133975"/>
          <a:ext cx="357187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9525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0.8545</cdr:y>
    </cdr:from>
    <cdr:to>
      <cdr:x>0.3395</cdr:x>
      <cdr:y>0.9745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57150" y="5238750"/>
          <a:ext cx="31242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0.8715</cdr:y>
    </cdr:from>
    <cdr:to>
      <cdr:x>0.3375</cdr:x>
      <cdr:y>0.99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76200" y="5343525"/>
          <a:ext cx="30765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62675"/>
    <xdr:graphicFrame>
      <xdr:nvGraphicFramePr>
        <xdr:cNvPr id="1" name="Shape 1025"/>
        <xdr:cNvGraphicFramePr/>
      </xdr:nvGraphicFramePr>
      <xdr:xfrm>
        <a:off x="0" y="0"/>
        <a:ext cx="102108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9525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zoomScalePageLayoutView="0" workbookViewId="0" topLeftCell="A72">
      <selection activeCell="J84" sqref="J84"/>
    </sheetView>
  </sheetViews>
  <sheetFormatPr defaultColWidth="9.140625" defaultRowHeight="12.75"/>
  <cols>
    <col min="1" max="1" width="31.00390625" style="0" customWidth="1"/>
    <col min="2" max="2" width="9.7109375" style="0" hidden="1" customWidth="1"/>
    <col min="3" max="4" width="10.8515625" style="0" customWidth="1"/>
    <col min="5" max="5" width="11.57421875" style="0" customWidth="1"/>
    <col min="6" max="8" width="11.28125" style="0" customWidth="1"/>
    <col min="9" max="9" width="10.8515625" style="0" bestFit="1" customWidth="1"/>
    <col min="10" max="10" width="48.28125" style="0" customWidth="1"/>
    <col min="11" max="11" width="14.00390625" style="0" bestFit="1" customWidth="1"/>
    <col min="12" max="12" width="13.28125" style="0" customWidth="1"/>
    <col min="13" max="13" width="12.140625" style="0" customWidth="1"/>
  </cols>
  <sheetData>
    <row r="1" spans="1:4" ht="12.75">
      <c r="A1" s="1" t="s">
        <v>231</v>
      </c>
      <c r="B1" s="1"/>
      <c r="C1" s="1"/>
      <c r="D1" s="1"/>
    </row>
    <row r="2" spans="1:4" ht="12.75">
      <c r="A2" s="1" t="s">
        <v>9</v>
      </c>
      <c r="B2" s="1"/>
      <c r="C2" s="1"/>
      <c r="D2" s="1"/>
    </row>
    <row r="4" spans="1:8" ht="12.75">
      <c r="A4" s="70" t="s">
        <v>229</v>
      </c>
      <c r="C4" s="71">
        <f>G5</f>
        <v>43168</v>
      </c>
      <c r="D4" s="70"/>
      <c r="E4" s="70"/>
      <c r="F4" s="143"/>
      <c r="G4" s="143"/>
      <c r="H4" s="143"/>
    </row>
    <row r="5" spans="2:8" ht="14.25">
      <c r="B5" s="107"/>
      <c r="C5" s="107"/>
      <c r="D5" s="107"/>
      <c r="G5" s="139">
        <f>'Weekliks-Weekly'!B52</f>
        <v>43168</v>
      </c>
      <c r="H5" s="141"/>
    </row>
    <row r="6" spans="1:10" ht="15" thickBot="1">
      <c r="A6" t="s">
        <v>63</v>
      </c>
      <c r="G6" s="140">
        <v>7</v>
      </c>
      <c r="H6" s="142"/>
      <c r="J6" s="1" t="s">
        <v>95</v>
      </c>
    </row>
    <row r="7" spans="1:13" ht="12.75">
      <c r="A7" s="1" t="s">
        <v>1</v>
      </c>
      <c r="B7" s="1"/>
      <c r="C7" s="1"/>
      <c r="D7" s="1"/>
      <c r="H7" s="64" t="s">
        <v>2</v>
      </c>
      <c r="J7" s="35"/>
      <c r="K7" s="31" t="s">
        <v>10</v>
      </c>
      <c r="L7" s="31" t="s">
        <v>11</v>
      </c>
      <c r="M7" s="32" t="s">
        <v>44</v>
      </c>
    </row>
    <row r="8" spans="1:13" ht="12.75">
      <c r="A8" s="54"/>
      <c r="B8" s="119" t="s">
        <v>108</v>
      </c>
      <c r="C8" s="119" t="s">
        <v>109</v>
      </c>
      <c r="D8" s="120" t="s">
        <v>112</v>
      </c>
      <c r="E8" s="120" t="s">
        <v>116</v>
      </c>
      <c r="F8" s="120" t="s">
        <v>115</v>
      </c>
      <c r="G8" s="131" t="s">
        <v>132</v>
      </c>
      <c r="H8" s="131" t="s">
        <v>230</v>
      </c>
      <c r="J8" s="36" t="s">
        <v>12</v>
      </c>
      <c r="K8" s="30">
        <f>H14</f>
        <v>155689</v>
      </c>
      <c r="L8" s="30">
        <f>H55</f>
        <v>15029</v>
      </c>
      <c r="M8" s="37">
        <f>SUM(K8:L8)</f>
        <v>170718</v>
      </c>
    </row>
    <row r="9" spans="1:13" ht="14.25">
      <c r="A9" s="46" t="s">
        <v>13</v>
      </c>
      <c r="B9" s="46">
        <v>12890</v>
      </c>
      <c r="C9" s="29">
        <f>555+35+215+798+376+1230+1454+637+78+297+2470+1069+900+274+1664+770+1034+1133+619+2257+286+336+1270+651+215</f>
        <v>20623</v>
      </c>
      <c r="D9" s="132">
        <f>310+315+485+483+136+781+929+1115+929+274+489+464+499+314+31+92+958+612+186+204+101+54+15+40+507+874+516+444+556+597+322+1091+71+1512+1461+240+587+404</f>
        <v>18998</v>
      </c>
      <c r="E9" s="146">
        <f>12+298+655+339+517+859+944+725+1023+706+652+630+763+378+796+343+70+1276+548+1093+1440+713+671+448+1044+1460+870+286+1255+580+953+69+306+382+112+209+854+388+146+228+37+89+77</f>
        <v>25244</v>
      </c>
      <c r="F9" s="185">
        <f>154+354+25+1723+2524+137+2911+791+1087+914+613+1024+415+21+445+3901+1810+1615+553+1073+1035+655+837+142+34+34+34+68+67+103+238+735+1300+700+135+33+1118+172</f>
        <v>29530</v>
      </c>
      <c r="G9" s="185">
        <f>33+136+66+862+2158+1432+958+971+578+2133+1333+425+313+1664+99+584+139+1945+1676+1938+999+1073+1235+2290+1935+2241+1418+1755+929+869+980+1339+2426+847+1375+1542+2881+950+36+2985+574+861+1088+361+592</f>
        <v>53024</v>
      </c>
      <c r="H9" s="181">
        <f>244+386+293+304+331+136+476+164+505+135+1296+221+309+549+549+757+67+177+155+218+141+1176+841+108+33+1752+412+2711+4+1074+1581+1126+788+721+1343+1431</f>
        <v>22514</v>
      </c>
      <c r="J9" s="36" t="s">
        <v>15</v>
      </c>
      <c r="K9" s="30">
        <f>H10</f>
        <v>63884</v>
      </c>
      <c r="L9" s="30">
        <f>H51</f>
        <v>1394</v>
      </c>
      <c r="M9" s="37">
        <f>SUM(K9:L9)</f>
        <v>65278</v>
      </c>
    </row>
    <row r="10" spans="1:13" ht="14.25">
      <c r="A10" s="46" t="s">
        <v>15</v>
      </c>
      <c r="B10" s="46">
        <v>139001</v>
      </c>
      <c r="C10" s="29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32">
        <f>1005+574+888+1545+1054+1089+1831+527+308+723+1365+2599+1095+181+749+2095+1761+310+483+1012+2552+836+792+46+1045+1775+1813+2506+2355+2536+1631+1949+560+1691+354+243+397+934+1291+1295+843</f>
        <v>48638</v>
      </c>
      <c r="E10" s="146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85">
        <f>2662+670+602+178+233+615+305+404+1201+2406+3246+1082+265+199+1168+1165+252+4875+2385+2481+1637+1305+1755+879+349+2365+823+150+1395+396+695+465+4284+3728+4148+3254+3005+2259+131+65+1421+292+401+863+527</f>
        <v>62986</v>
      </c>
      <c r="G10" s="185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81">
        <f>1331+655+2711+787+657+1034+2469+842+751+324+1440+1084+1172+1119+1303+400+3049+1597+323+908+358+103+1306+897+2903+2644+1684+2076+2579+4785+5278+3395+3353+1515+522+962+952+1592+997+607+1420</f>
        <v>63884</v>
      </c>
      <c r="J10" s="36" t="s">
        <v>17</v>
      </c>
      <c r="K10" s="30">
        <f>H13</f>
        <v>37455</v>
      </c>
      <c r="L10" s="30">
        <f>H54</f>
        <v>40246</v>
      </c>
      <c r="M10" s="37">
        <f>SUM(K10:L10)</f>
        <v>77701</v>
      </c>
    </row>
    <row r="11" spans="1:13" ht="14.25">
      <c r="A11" s="46" t="s">
        <v>18</v>
      </c>
      <c r="B11" s="46">
        <v>65301</v>
      </c>
      <c r="C11" s="29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32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46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85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85">
        <f>431+270+133+1268+1316+127+739+1238+1950+1733+535+1814+1038+1382+1576+1256+2107+5198+936+837+266+330+494+173+305+507+609+355+858+1696+1109+732+702+700+133+69+290+2375+1434+1378+814+796</f>
        <v>42009</v>
      </c>
      <c r="H11" s="181">
        <f>1378+2014+1247+871+540+1048+1710+2232+1230+1322+4341+711+1955+2480+1980+1616+1720+1444+1712+1524+2267+1224+1683+755+1243+1882+1544+1204+1062+1539+1775+846+481+240+242+574+89+406+1189+874+496+1552+893</f>
        <v>57135</v>
      </c>
      <c r="J11" s="36" t="s">
        <v>13</v>
      </c>
      <c r="K11" s="30">
        <f>H9</f>
        <v>22514</v>
      </c>
      <c r="L11" s="30">
        <f>H53</f>
        <v>72578</v>
      </c>
      <c r="M11" s="37">
        <f>SUM(K11:L11)</f>
        <v>95092</v>
      </c>
    </row>
    <row r="12" spans="1:13" ht="15" thickBot="1">
      <c r="A12" s="46" t="s">
        <v>14</v>
      </c>
      <c r="B12" s="46">
        <v>352</v>
      </c>
      <c r="C12" s="29">
        <f>1189+572+171+1660+947+880+484+176</f>
        <v>6079</v>
      </c>
      <c r="D12" s="132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46">
        <f>508+74+792+2224+1364+682+2860+2552+2200+1185+836+1848+792+2508+1100+1232+2387+2288+1450+1844+0+2499+5101+5415+4184+4330+1500+650+2625+529</f>
        <v>57559</v>
      </c>
      <c r="F12" s="185">
        <f>632+740+1494+2640+2508+3651+4311+4224+3300+2728+1012+1760+3080+2420+1980</f>
        <v>36480</v>
      </c>
      <c r="G12" s="185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81">
        <f>35+36+109+109+1100+880+2156+1276+111+35+35+99+272+1185+3039</f>
        <v>10477</v>
      </c>
      <c r="J12" s="38" t="s">
        <v>19</v>
      </c>
      <c r="K12" s="39">
        <f>SUM(K8:K11)</f>
        <v>279542</v>
      </c>
      <c r="L12" s="39">
        <f>SUM(L8:L11)</f>
        <v>129247</v>
      </c>
      <c r="M12" s="40">
        <f>SUM(K12:L12)</f>
        <v>408789</v>
      </c>
    </row>
    <row r="13" spans="1:13" ht="14.25">
      <c r="A13" s="46" t="s">
        <v>17</v>
      </c>
      <c r="B13" s="46">
        <v>37759</v>
      </c>
      <c r="C13" s="29">
        <f>2765+2237+3193+2301+2796+3816+4022+4320+3409+7642+1250+4861+2643+4705+2924+2477+237+4181+1347+1484+1477+100+135+30+94+96+521+66+51+1045</f>
        <v>66225</v>
      </c>
      <c r="D13" s="132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46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85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85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81">
        <f>3185+2712+2841+3423+3234+2791+3362+2478+120+118+62+150+94+58+90+10+60+89+120+91+175+116+59+55+59+86+1+89+28+342+236+236+637+1887+2007+2098+2196+2060</f>
        <v>37455</v>
      </c>
      <c r="J13" s="44"/>
      <c r="K13" s="45"/>
      <c r="L13" s="45"/>
      <c r="M13" s="45"/>
    </row>
    <row r="14" spans="1:13" ht="14.25">
      <c r="A14" s="46" t="s">
        <v>12</v>
      </c>
      <c r="B14" s="46">
        <v>149901</v>
      </c>
      <c r="C14" s="29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32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46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85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85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81">
        <f>3207+3887+2524+2669+2243+1472+2345+1735+2174+1462+12702+3429+2448+3954+4393+3780+3461+4253+4893+3872+3638+2743+3955+3916+3760+3242+5267+4826+2993+3026+4443+3650+3324+4218+7366+3645+2813+2052+3533+5276+2692+2323+2085</f>
        <v>155689</v>
      </c>
      <c r="J14" s="44"/>
      <c r="K14" s="45"/>
      <c r="L14" s="45"/>
      <c r="M14" s="45"/>
    </row>
    <row r="15" spans="1:10" ht="15" thickBot="1">
      <c r="A15" s="46" t="s">
        <v>73</v>
      </c>
      <c r="B15" s="46">
        <v>1162100</v>
      </c>
      <c r="C15" s="29">
        <f>41799+7929+33870+5287+34531+16808+21292+9016+33661+23950+35584+31309+33991+6700+29671+25192+50399+87300+26999+61633+74765+14729+81000+32550</f>
        <v>819965</v>
      </c>
      <c r="D15" s="132">
        <f>19803+18866+8186+31763+4804+33834+7893+28248+36700</f>
        <v>190097</v>
      </c>
      <c r="E15" s="146"/>
      <c r="F15" s="185"/>
      <c r="G15" s="185"/>
      <c r="H15" s="181"/>
      <c r="J15" s="1" t="s">
        <v>90</v>
      </c>
    </row>
    <row r="16" spans="1:13" ht="14.25">
      <c r="A16" s="46" t="s">
        <v>21</v>
      </c>
      <c r="B16" s="46"/>
      <c r="C16" s="30"/>
      <c r="D16" s="133">
        <v>2369</v>
      </c>
      <c r="E16" s="147"/>
      <c r="F16" s="186"/>
      <c r="G16" s="186"/>
      <c r="H16" s="180"/>
      <c r="J16" s="35"/>
      <c r="K16" s="31" t="s">
        <v>10</v>
      </c>
      <c r="L16" s="31" t="s">
        <v>11</v>
      </c>
      <c r="M16" s="32" t="s">
        <v>44</v>
      </c>
    </row>
    <row r="17" spans="1:16" ht="14.25">
      <c r="A17" s="46" t="s">
        <v>45</v>
      </c>
      <c r="B17" s="46"/>
      <c r="C17" s="29"/>
      <c r="D17" s="132"/>
      <c r="E17" s="146"/>
      <c r="F17" s="185"/>
      <c r="G17" s="185"/>
      <c r="H17" s="181"/>
      <c r="J17" s="36" t="s">
        <v>91</v>
      </c>
      <c r="K17" s="123">
        <f>H9+H10+H11+H12+H13+H14+H16+H46</f>
        <v>347154</v>
      </c>
      <c r="L17" s="123">
        <f>H51+H52+H53+H54+H55+H61+H80+H77</f>
        <v>148463</v>
      </c>
      <c r="M17" s="37">
        <f>SUM(K17:L17)</f>
        <v>495617</v>
      </c>
      <c r="O17" s="2"/>
      <c r="P17" s="2"/>
    </row>
    <row r="18" spans="1:13" ht="14.25">
      <c r="A18" s="46" t="s">
        <v>83</v>
      </c>
      <c r="B18" s="46"/>
      <c r="C18" s="29"/>
      <c r="D18" s="132"/>
      <c r="E18" s="146"/>
      <c r="F18" s="185"/>
      <c r="G18" s="185"/>
      <c r="H18" s="181"/>
      <c r="J18" s="73" t="s">
        <v>237</v>
      </c>
      <c r="K18" s="123">
        <f>H27</f>
        <v>0</v>
      </c>
      <c r="L18" s="123">
        <f>H56+H57+H65+H72+H82</f>
        <v>1029238</v>
      </c>
      <c r="M18" s="37">
        <f>SUM(K18:L18)</f>
        <v>1029238</v>
      </c>
    </row>
    <row r="19" spans="1:13" ht="15" thickBot="1">
      <c r="A19" s="46" t="s">
        <v>46</v>
      </c>
      <c r="B19" s="46"/>
      <c r="C19" s="29"/>
      <c r="D19" s="132">
        <v>1058</v>
      </c>
      <c r="E19" s="146"/>
      <c r="F19" s="185"/>
      <c r="G19" s="185"/>
      <c r="H19" s="181"/>
      <c r="J19" s="38" t="s">
        <v>19</v>
      </c>
      <c r="K19" s="39">
        <f>SUM(K17:K18)</f>
        <v>347154</v>
      </c>
      <c r="L19" s="39">
        <f>SUM(L17:L18)</f>
        <v>1177701</v>
      </c>
      <c r="M19" s="40">
        <f>SUM(K19:L19)</f>
        <v>1524855</v>
      </c>
    </row>
    <row r="20" spans="1:13" ht="14.25">
      <c r="A20" s="46" t="s">
        <v>80</v>
      </c>
      <c r="B20" s="46"/>
      <c r="C20" s="29">
        <f>43+774+645</f>
        <v>1462</v>
      </c>
      <c r="D20" s="132"/>
      <c r="E20" s="146"/>
      <c r="F20" s="185"/>
      <c r="G20" s="185"/>
      <c r="H20" s="181"/>
      <c r="J20" s="44"/>
      <c r="K20" s="45"/>
      <c r="L20" s="45"/>
      <c r="M20" s="45"/>
    </row>
    <row r="21" spans="1:13" ht="14.25">
      <c r="A21" s="46" t="s">
        <v>72</v>
      </c>
      <c r="B21" s="46"/>
      <c r="C21" s="29"/>
      <c r="D21" s="132"/>
      <c r="E21" s="146"/>
      <c r="F21" s="185"/>
      <c r="G21" s="185"/>
      <c r="H21" s="181"/>
      <c r="J21" s="44"/>
      <c r="K21" s="45"/>
      <c r="L21" s="45"/>
      <c r="M21" s="45"/>
    </row>
    <row r="22" spans="1:13" ht="14.25">
      <c r="A22" s="46" t="s">
        <v>81</v>
      </c>
      <c r="B22" s="46"/>
      <c r="C22" s="29"/>
      <c r="D22" s="132"/>
      <c r="E22" s="146"/>
      <c r="F22" s="185"/>
      <c r="G22" s="185"/>
      <c r="H22" s="181"/>
      <c r="J22" s="44"/>
      <c r="K22" s="45"/>
      <c r="L22" s="45"/>
      <c r="M22" s="45"/>
    </row>
    <row r="23" spans="1:13" ht="15" thickBot="1">
      <c r="A23" s="46" t="s">
        <v>65</v>
      </c>
      <c r="B23" s="46"/>
      <c r="C23" s="29"/>
      <c r="D23" s="132"/>
      <c r="E23" s="146"/>
      <c r="F23" s="185"/>
      <c r="G23" s="185"/>
      <c r="H23" s="181"/>
      <c r="J23" s="93"/>
      <c r="K23" s="94"/>
      <c r="L23" s="94"/>
      <c r="M23" s="94"/>
    </row>
    <row r="24" spans="1:13" ht="14.25">
      <c r="A24" s="46" t="s">
        <v>76</v>
      </c>
      <c r="B24" s="46"/>
      <c r="C24" s="29"/>
      <c r="D24" s="132"/>
      <c r="E24" s="146"/>
      <c r="F24" s="185"/>
      <c r="G24" s="185"/>
      <c r="H24" s="181"/>
      <c r="J24" s="197" t="s">
        <v>136</v>
      </c>
      <c r="K24" s="31" t="s">
        <v>49</v>
      </c>
      <c r="L24" s="31" t="s">
        <v>50</v>
      </c>
      <c r="M24" s="32" t="s">
        <v>19</v>
      </c>
    </row>
    <row r="25" spans="1:13" ht="14.25">
      <c r="A25" s="46" t="s">
        <v>42</v>
      </c>
      <c r="B25" s="46"/>
      <c r="C25" s="29"/>
      <c r="D25" s="132"/>
      <c r="E25" s="146"/>
      <c r="F25" s="185"/>
      <c r="G25" s="185"/>
      <c r="H25" s="181"/>
      <c r="J25" s="198"/>
      <c r="K25" s="187">
        <f>H47/(52-K34)</f>
        <v>13764.977777777778</v>
      </c>
      <c r="L25" s="187">
        <f>H85/(52-K34)</f>
        <v>31042.71111111111</v>
      </c>
      <c r="M25" s="144">
        <f>H86/(52-K34)</f>
        <v>0</v>
      </c>
    </row>
    <row r="26" spans="1:13" ht="15" thickBot="1">
      <c r="A26" s="46" t="s">
        <v>22</v>
      </c>
      <c r="B26" s="46"/>
      <c r="C26" s="29"/>
      <c r="D26" s="132"/>
      <c r="E26" s="146"/>
      <c r="F26" s="185"/>
      <c r="G26" s="185"/>
      <c r="H26" s="181">
        <f>22591+20001+24996+71010+552+706+38442+38518+30434</f>
        <v>247250</v>
      </c>
      <c r="J26" s="103" t="s">
        <v>105</v>
      </c>
      <c r="K26" s="101">
        <f>K25*52</f>
        <v>715778.8444444444</v>
      </c>
      <c r="L26" s="101">
        <f>L25*52</f>
        <v>1614220.9777777777</v>
      </c>
      <c r="M26" s="102">
        <f>K26+L26</f>
        <v>2329999.822222222</v>
      </c>
    </row>
    <row r="27" spans="1:12" ht="14.25">
      <c r="A27" s="46" t="s">
        <v>113</v>
      </c>
      <c r="B27" s="46">
        <v>45234</v>
      </c>
      <c r="C27" s="29">
        <f>9621+39629+997</f>
        <v>50247</v>
      </c>
      <c r="D27" s="132"/>
      <c r="E27" s="146">
        <f>1687+1690+723+731+326+408</f>
        <v>5565</v>
      </c>
      <c r="F27" s="185"/>
      <c r="G27" s="185"/>
      <c r="H27" s="181"/>
      <c r="J27" s="82" t="s">
        <v>104</v>
      </c>
      <c r="K27" s="60"/>
      <c r="L27" s="60"/>
    </row>
    <row r="28" spans="1:12" ht="14.25">
      <c r="A28" s="46" t="s">
        <v>43</v>
      </c>
      <c r="B28" s="46"/>
      <c r="C28" s="29"/>
      <c r="D28" s="132"/>
      <c r="E28" s="146"/>
      <c r="F28" s="185"/>
      <c r="G28" s="185"/>
      <c r="H28" s="181"/>
      <c r="K28" s="60"/>
      <c r="L28" s="60"/>
    </row>
    <row r="29" spans="1:10" ht="15" thickBot="1">
      <c r="A29" s="46" t="s">
        <v>64</v>
      </c>
      <c r="B29" s="46"/>
      <c r="C29" s="29"/>
      <c r="D29" s="132"/>
      <c r="E29" s="146"/>
      <c r="F29" s="185"/>
      <c r="G29" s="185"/>
      <c r="H29" s="181"/>
      <c r="J29" s="1" t="s">
        <v>58</v>
      </c>
    </row>
    <row r="30" spans="1:13" ht="14.25">
      <c r="A30" s="46" t="s">
        <v>4</v>
      </c>
      <c r="B30" s="46"/>
      <c r="C30" s="29"/>
      <c r="D30" s="132"/>
      <c r="E30" s="146"/>
      <c r="F30" s="185"/>
      <c r="G30" s="185">
        <f>134+238+65+100+133+165+357+229+316+604+29+457</f>
        <v>2827</v>
      </c>
      <c r="H30" s="181"/>
      <c r="J30" s="41"/>
      <c r="K30" s="31" t="s">
        <v>51</v>
      </c>
      <c r="L30" s="31" t="s">
        <v>101</v>
      </c>
      <c r="M30" s="32" t="s">
        <v>56</v>
      </c>
    </row>
    <row r="31" spans="1:16" ht="14.25">
      <c r="A31" s="46" t="s">
        <v>106</v>
      </c>
      <c r="B31" s="46"/>
      <c r="C31" s="29">
        <f>817+559+516+967</f>
        <v>2859</v>
      </c>
      <c r="D31" s="132"/>
      <c r="E31" s="146"/>
      <c r="F31" s="185"/>
      <c r="G31" s="185"/>
      <c r="H31" s="181"/>
      <c r="J31" s="48" t="s">
        <v>52</v>
      </c>
      <c r="K31" s="122">
        <v>2000000</v>
      </c>
      <c r="L31" s="122">
        <v>2650000</v>
      </c>
      <c r="M31" s="125">
        <v>2700000</v>
      </c>
      <c r="P31" s="82"/>
    </row>
    <row r="32" spans="1:13" ht="14.25">
      <c r="A32" s="46" t="s">
        <v>94</v>
      </c>
      <c r="B32" s="46"/>
      <c r="C32" s="29"/>
      <c r="D32" s="132"/>
      <c r="E32" s="146"/>
      <c r="F32" s="185"/>
      <c r="G32" s="185"/>
      <c r="H32" s="181"/>
      <c r="J32" s="73" t="s">
        <v>135</v>
      </c>
      <c r="K32" s="29">
        <f>H47</f>
        <v>619424</v>
      </c>
      <c r="L32" s="29">
        <f>H47</f>
        <v>619424</v>
      </c>
      <c r="M32" s="42">
        <f>H47</f>
        <v>619424</v>
      </c>
    </row>
    <row r="33" spans="1:13" ht="14.25">
      <c r="A33" s="46" t="s">
        <v>92</v>
      </c>
      <c r="B33" s="46"/>
      <c r="C33" s="29"/>
      <c r="D33" s="132"/>
      <c r="E33" s="146"/>
      <c r="F33" s="185"/>
      <c r="G33" s="185"/>
      <c r="H33" s="181"/>
      <c r="J33" s="36" t="s">
        <v>53</v>
      </c>
      <c r="K33" s="29">
        <f>K31-K32</f>
        <v>1380576</v>
      </c>
      <c r="L33" s="29">
        <f>L31-L32</f>
        <v>2030576</v>
      </c>
      <c r="M33" s="42">
        <f>M31-M32</f>
        <v>2080576</v>
      </c>
    </row>
    <row r="34" spans="1:13" ht="14.25">
      <c r="A34" s="46" t="s">
        <v>89</v>
      </c>
      <c r="B34" s="46">
        <v>68005</v>
      </c>
      <c r="C34" s="29">
        <f>27700+33176</f>
        <v>60876</v>
      </c>
      <c r="D34" s="132"/>
      <c r="E34" s="146"/>
      <c r="F34" s="185"/>
      <c r="G34" s="185"/>
      <c r="H34" s="181"/>
      <c r="J34" s="36" t="s">
        <v>54</v>
      </c>
      <c r="K34" s="29">
        <f>G6</f>
        <v>7</v>
      </c>
      <c r="L34" s="29">
        <f>$K$34</f>
        <v>7</v>
      </c>
      <c r="M34" s="42">
        <f>$K$34</f>
        <v>7</v>
      </c>
    </row>
    <row r="35" spans="1:13" ht="15" thickBot="1">
      <c r="A35" s="46" t="s">
        <v>71</v>
      </c>
      <c r="B35" s="46">
        <v>19442</v>
      </c>
      <c r="C35" s="29"/>
      <c r="D35" s="132"/>
      <c r="E35" s="146"/>
      <c r="F35" s="185"/>
      <c r="G35" s="185"/>
      <c r="H35" s="181"/>
      <c r="J35" s="43" t="s">
        <v>55</v>
      </c>
      <c r="K35" s="33">
        <f>K33/K34</f>
        <v>197225.14285714287</v>
      </c>
      <c r="L35" s="33">
        <f>L33/L34</f>
        <v>290082.28571428574</v>
      </c>
      <c r="M35" s="34">
        <f>M33/M34</f>
        <v>297225.14285714284</v>
      </c>
    </row>
    <row r="36" spans="1:13" ht="14.25">
      <c r="A36" s="46" t="s">
        <v>47</v>
      </c>
      <c r="B36" s="46"/>
      <c r="C36" s="29"/>
      <c r="D36" s="132"/>
      <c r="E36" s="146"/>
      <c r="F36" s="185"/>
      <c r="G36" s="185"/>
      <c r="H36" s="181"/>
      <c r="J36" s="54"/>
      <c r="K36" s="61"/>
      <c r="L36" s="45"/>
      <c r="M36" s="61"/>
    </row>
    <row r="37" spans="1:13" ht="14.25">
      <c r="A37" s="46" t="s">
        <v>78</v>
      </c>
      <c r="B37" s="46"/>
      <c r="C37" s="29"/>
      <c r="D37" s="132"/>
      <c r="E37" s="146"/>
      <c r="F37" s="185"/>
      <c r="G37" s="185"/>
      <c r="H37" s="181"/>
      <c r="J37" s="99" t="s">
        <v>100</v>
      </c>
      <c r="K37" s="61"/>
      <c r="L37" s="45"/>
      <c r="M37" s="61"/>
    </row>
    <row r="38" spans="1:13" ht="14.25">
      <c r="A38" s="46" t="s">
        <v>239</v>
      </c>
      <c r="B38" s="46"/>
      <c r="C38" s="29"/>
      <c r="D38" s="132"/>
      <c r="E38" s="146"/>
      <c r="F38" s="185"/>
      <c r="G38" s="185"/>
      <c r="H38" s="181"/>
      <c r="J38" s="99"/>
      <c r="K38" s="61"/>
      <c r="L38" s="45"/>
      <c r="M38" s="61"/>
    </row>
    <row r="39" spans="1:13" ht="14.25">
      <c r="A39" s="46" t="s">
        <v>25</v>
      </c>
      <c r="B39" s="46">
        <v>258</v>
      </c>
      <c r="C39" s="29"/>
      <c r="D39" s="132"/>
      <c r="E39" s="146"/>
      <c r="F39" s="185"/>
      <c r="G39" s="185"/>
      <c r="H39" s="181"/>
      <c r="J39" s="99" t="s">
        <v>103</v>
      </c>
      <c r="K39" s="61"/>
      <c r="L39" s="45"/>
      <c r="M39" s="61"/>
    </row>
    <row r="40" spans="1:13" ht="14.25">
      <c r="A40" s="46" t="s">
        <v>86</v>
      </c>
      <c r="B40" s="46"/>
      <c r="C40" s="29"/>
      <c r="D40" s="132"/>
      <c r="E40" s="146"/>
      <c r="F40" s="185"/>
      <c r="G40" s="185"/>
      <c r="H40" s="181">
        <f>22</f>
        <v>22</v>
      </c>
      <c r="J40" s="99"/>
      <c r="K40" s="61"/>
      <c r="L40" s="45"/>
      <c r="M40" s="61"/>
    </row>
    <row r="41" spans="1:13" ht="14.25">
      <c r="A41" s="46" t="s">
        <v>93</v>
      </c>
      <c r="B41" s="46"/>
      <c r="C41" s="29"/>
      <c r="D41" s="132"/>
      <c r="E41" s="146"/>
      <c r="F41" s="185"/>
      <c r="G41" s="185"/>
      <c r="H41" s="181"/>
      <c r="J41" s="54"/>
      <c r="K41" s="61"/>
      <c r="L41" s="61"/>
      <c r="M41" s="61"/>
    </row>
    <row r="42" spans="1:13" ht="14.25">
      <c r="A42" s="46" t="s">
        <v>23</v>
      </c>
      <c r="B42" s="46"/>
      <c r="C42" s="29"/>
      <c r="D42" s="132"/>
      <c r="E42" s="146"/>
      <c r="F42" s="185"/>
      <c r="G42" s="185">
        <f>10105</f>
        <v>10105</v>
      </c>
      <c r="H42" s="181"/>
      <c r="J42" s="54"/>
      <c r="K42" s="61"/>
      <c r="L42" s="61"/>
      <c r="M42" s="61"/>
    </row>
    <row r="43" spans="1:8" ht="14.25">
      <c r="A43" s="46" t="s">
        <v>82</v>
      </c>
      <c r="B43" s="46"/>
      <c r="C43" s="29"/>
      <c r="D43" s="132"/>
      <c r="E43" s="146"/>
      <c r="F43" s="185"/>
      <c r="G43" s="185"/>
      <c r="H43" s="181"/>
    </row>
    <row r="44" spans="1:10" ht="15" thickBot="1">
      <c r="A44" s="46" t="s">
        <v>238</v>
      </c>
      <c r="B44" s="46"/>
      <c r="C44" s="29"/>
      <c r="D44" s="132"/>
      <c r="E44" s="146"/>
      <c r="F44" s="185"/>
      <c r="G44" s="185"/>
      <c r="H44" s="181">
        <f>24998</f>
        <v>24998</v>
      </c>
      <c r="J44" s="1" t="s">
        <v>59</v>
      </c>
    </row>
    <row r="45" spans="1:13" ht="14.25">
      <c r="A45" s="46" t="s">
        <v>96</v>
      </c>
      <c r="B45" s="46">
        <v>31000</v>
      </c>
      <c r="C45" s="29"/>
      <c r="D45" s="132"/>
      <c r="E45" s="146"/>
      <c r="F45" s="185"/>
      <c r="G45" s="185"/>
      <c r="H45" s="181"/>
      <c r="J45" s="41"/>
      <c r="K45" s="31" t="s">
        <v>51</v>
      </c>
      <c r="L45" s="31" t="s">
        <v>102</v>
      </c>
      <c r="M45" s="32" t="s">
        <v>56</v>
      </c>
    </row>
    <row r="46" spans="1:13" ht="14.25">
      <c r="A46" s="46" t="s">
        <v>16</v>
      </c>
      <c r="B46" s="46"/>
      <c r="C46" s="29"/>
      <c r="D46" s="132"/>
      <c r="E46" s="146"/>
      <c r="F46" s="185"/>
      <c r="G46" s="185">
        <f>30+225+33</f>
        <v>288</v>
      </c>
      <c r="H46" s="181"/>
      <c r="J46" s="48" t="s">
        <v>60</v>
      </c>
      <c r="K46" s="122">
        <v>1400000</v>
      </c>
      <c r="L46" s="122">
        <v>1600000</v>
      </c>
      <c r="M46" s="122">
        <v>1800000</v>
      </c>
    </row>
    <row r="47" spans="1:13" ht="14.25">
      <c r="A47" s="47" t="s">
        <v>66</v>
      </c>
      <c r="B47" s="47">
        <f>SUM(B9:B45)</f>
        <v>1731243</v>
      </c>
      <c r="C47" s="128">
        <f>SUM(C9:C34)</f>
        <v>1395153</v>
      </c>
      <c r="D47" s="134">
        <f>SUM(D9:D46)</f>
        <v>901227</v>
      </c>
      <c r="E47" s="145">
        <f>SUM(E9:E46)</f>
        <v>536014</v>
      </c>
      <c r="F47" s="186">
        <f>SUM(F9:F46)</f>
        <v>456646</v>
      </c>
      <c r="G47" s="186">
        <f>SUM(G9:G46)</f>
        <v>525079</v>
      </c>
      <c r="H47" s="180">
        <f>SUM(H9:H46)</f>
        <v>619424</v>
      </c>
      <c r="I47" s="130">
        <f>'Weekliks-Weekly'!I52</f>
        <v>619424</v>
      </c>
      <c r="J47" s="73" t="s">
        <v>134</v>
      </c>
      <c r="K47" s="29">
        <f>H85</f>
        <v>1396922</v>
      </c>
      <c r="L47" s="29">
        <f>H85</f>
        <v>1396922</v>
      </c>
      <c r="M47" s="42">
        <f>F85</f>
        <v>210799</v>
      </c>
    </row>
    <row r="48" spans="5:13" ht="12.75">
      <c r="E48" s="135"/>
      <c r="F48" s="182"/>
      <c r="G48" s="182"/>
      <c r="H48" s="54"/>
      <c r="I48" s="104"/>
      <c r="J48" s="36" t="s">
        <v>53</v>
      </c>
      <c r="K48" s="29">
        <f>K46-K47</f>
        <v>3078</v>
      </c>
      <c r="L48" s="29">
        <f>L46-L47</f>
        <v>203078</v>
      </c>
      <c r="M48" s="42">
        <f>M46-M47</f>
        <v>1589201</v>
      </c>
    </row>
    <row r="49" spans="1:13" ht="12.75">
      <c r="A49" s="1" t="s">
        <v>6</v>
      </c>
      <c r="B49" s="1"/>
      <c r="C49" s="1"/>
      <c r="D49" s="1"/>
      <c r="H49" s="183" t="s">
        <v>2</v>
      </c>
      <c r="J49" s="36" t="s">
        <v>54</v>
      </c>
      <c r="K49" s="29">
        <f>$K$34</f>
        <v>7</v>
      </c>
      <c r="L49" s="29">
        <f>$K$34</f>
        <v>7</v>
      </c>
      <c r="M49" s="42">
        <f>$K$34</f>
        <v>7</v>
      </c>
    </row>
    <row r="50" spans="2:13" ht="13.5" thickBot="1">
      <c r="B50" s="119" t="s">
        <v>108</v>
      </c>
      <c r="C50" s="119" t="s">
        <v>109</v>
      </c>
      <c r="D50" s="136" t="s">
        <v>112</v>
      </c>
      <c r="E50" s="131" t="s">
        <v>116</v>
      </c>
      <c r="F50" s="184" t="s">
        <v>115</v>
      </c>
      <c r="G50" s="131" t="s">
        <v>132</v>
      </c>
      <c r="H50" s="131" t="s">
        <v>230</v>
      </c>
      <c r="J50" s="43" t="s">
        <v>55</v>
      </c>
      <c r="K50" s="33">
        <f>K48/K49</f>
        <v>439.7142857142857</v>
      </c>
      <c r="L50" s="33">
        <f>L48/L49</f>
        <v>29011.14285714286</v>
      </c>
      <c r="M50" s="34">
        <f>M48/M49</f>
        <v>227028.7142857143</v>
      </c>
    </row>
    <row r="51" spans="1:13" ht="14.25">
      <c r="A51" s="46" t="s">
        <v>15</v>
      </c>
      <c r="B51" s="46">
        <v>6587</v>
      </c>
      <c r="C51" s="81">
        <f>15+593+506+514+2+172+104+492+454+220+228+781+182+405+743+1096+189+228+819+50+301+274+56+3+160+223+56+36+279+5</f>
        <v>9186</v>
      </c>
      <c r="D51" s="132">
        <f>432+66+344+134+148+212+250+640+33+32+35+159+679+19+135+2137+176+137+560+726+209+15+36+248+166+439+324+121+34+168</f>
        <v>8814</v>
      </c>
      <c r="E51" s="132">
        <v>7506</v>
      </c>
      <c r="F51" s="185">
        <f>748+34+694+396+440+317+704+484+440+968+484+484+484+484+484+968+660+880+616+484+484</f>
        <v>11737</v>
      </c>
      <c r="G51" s="185">
        <f>45+34+42+34+6+34+61+20+1012+979+1470+49+58+527+484+774+572+1188+851+660+949+440+799+771+357+469</f>
        <v>12685</v>
      </c>
      <c r="H51" s="181">
        <f>18+440+6+440+487+3</f>
        <v>1394</v>
      </c>
      <c r="J51" s="54"/>
      <c r="K51" s="61"/>
      <c r="L51" s="45"/>
      <c r="M51" s="61"/>
    </row>
    <row r="52" spans="1:13" ht="14.25">
      <c r="A52" s="46" t="s">
        <v>18</v>
      </c>
      <c r="B52" s="46">
        <v>14833</v>
      </c>
      <c r="C52" s="81">
        <f>442+352+471+159+522+155+97+223+98+1208+427+220+251+320+451+535+294+1020+1115+271+326+258+513+168+181+35+47+255+1680+791+1175+749+394+958+83+84+82+27+511+427+400</f>
        <v>17775</v>
      </c>
      <c r="D52" s="132">
        <f>104+81+631+231+213+199+138+220+979+131+507+487+461+1509+410+771+288+1886+496+624+850+1081+544+865+409+194+124+205+197+169+639+362+433+364+735+911+168+570+1013+550+381+793+183+164+67+110+95</f>
        <v>22542</v>
      </c>
      <c r="E52" s="132">
        <v>24483</v>
      </c>
      <c r="F52" s="185">
        <f>441+775+462+320+193+459+301+725+1922+1529+1025+716+389+334+262+435+139+1278+365+1059+224+1850+216+1285+644+1175+1315+886+1107+303+1360+965+1054+444+1139+957+686+1618+948+391+495+325+945+1182+1063+743+616+548+719</f>
        <v>38332</v>
      </c>
      <c r="G52" s="185">
        <f>235+241+1120+329+492+842+101+227+554+859+468+273+143+203+367+132+1909+956+675+348+508+588+570+536+498+295+1238+102+477+175+348+170+267+207+800+931+539+744+203+206+1185+1131+885+296+730+1078+803+811</f>
        <v>26795</v>
      </c>
      <c r="H52" s="181">
        <f>991+760+445+237+467+535+510+269+501+102+914+134+247+237+512+770+1239+539+235+540+131+32+394+1070+473+344+542+163+70+318+434+1307+1308+301+9+134+204+160+62+374+215+98</f>
        <v>18327</v>
      </c>
      <c r="J52" s="99" t="s">
        <v>100</v>
      </c>
      <c r="K52" s="61"/>
      <c r="L52" s="45"/>
      <c r="M52" s="61"/>
    </row>
    <row r="53" spans="1:10" ht="14.25">
      <c r="A53" s="46" t="s">
        <v>13</v>
      </c>
      <c r="B53" s="46">
        <v>55618</v>
      </c>
      <c r="C53" s="81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3" s="132">
        <f>230+477+569+880+750+1120+874+1288+548+465+647+1364+1253+698+956+1401+531+2481+798+1356+1534+715+917+565+1310+1024+1550+700+1370+293+896+557+729+974+825+733+651+200+118+444+614+700+1492+969+352+608+250+285+265+512</f>
        <v>40838</v>
      </c>
      <c r="E53" s="132">
        <v>45076</v>
      </c>
      <c r="F53" s="185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3" s="185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3" s="181">
        <f>1815+1903+1096+1739+1685+1589+1477+1419+1556+1893+5260+2054+1647+2332+1832+1603+2175+2039+1617+2004+2016+2286+1732+1682+910+1240+1388+1138+1631+1220+1321+1260+1315+1624+1649+1496+1868+1031+1118+1869+1582+1329+1138</f>
        <v>72578</v>
      </c>
      <c r="J53" s="99" t="s">
        <v>103</v>
      </c>
    </row>
    <row r="54" spans="1:8" ht="14.25">
      <c r="A54" s="46" t="s">
        <v>17</v>
      </c>
      <c r="B54" s="46">
        <v>15632</v>
      </c>
      <c r="C54" s="81">
        <f>351+605+233+305+817+415+277+384+367+848+1059+1094+689+993+572+818+73+1858+1438+1599+1054+1189+664+565+719+322+922+570+477+461+256+152+398+605+389+694+154+531+395+336+669+471+699+566+330+125+873+139+136+279</f>
        <v>29935</v>
      </c>
      <c r="D54" s="132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54" s="132">
        <v>37518</v>
      </c>
      <c r="F54" s="185">
        <f>244+348+282+272+918+164+212+840+739+1013+1522+826+1046+557+475+367+444+3201+936+1332+929+908+1214+920+819+1197+1065+1293+718+917+794+971+623+1064+720+899+1345+590+719+1162+771+760+743+861+1400+1144+832+537+470+88</f>
        <v>42211</v>
      </c>
      <c r="G54" s="185">
        <f>215+224+301+248+200+130+165+66+144+441+463+294+291+1198+277+143+1423+231+312+227+343+594+946+682+29+138+66+25+162+589+419+297+387+457+1+35+35+36+116+183+255+290+481+502+501+133+296</f>
        <v>14991</v>
      </c>
      <c r="H54" s="181">
        <f>1048+766+1100+1392+1313+1159+896+895+1122+3550+1042+1075+1193+1008+967+783+2675+45+131+234+782+998+842+1014+1021+1241+1430+1083+1151+1281+996+238+889+434+990+1162+811+717+283+179+140+170</f>
        <v>40246</v>
      </c>
    </row>
    <row r="55" spans="1:8" ht="14.25">
      <c r="A55" s="46" t="s">
        <v>12</v>
      </c>
      <c r="B55" s="46">
        <v>22153</v>
      </c>
      <c r="C55" s="81">
        <f>540+329+759+511+168+346+135+401+270+406+532+201+416+716+209+318+544+1004+287+269+934+901+534+878+844+1100+725+688+590+1335+1240+418+2824+1226+1603+825+1233+861+1339+1503+411+528+1620+679+635+491+636+930+322</f>
        <v>36214</v>
      </c>
      <c r="D55" s="132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55" s="132">
        <v>30126</v>
      </c>
      <c r="F55" s="185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55" s="185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55" s="181">
        <f>606+470+199+422+299+289+371+247+278+89+1091+339+242+292+208+210+540+395+132+36+169+180+11+158+179+83+204+71+134+27+57+34+592+141+34+224+168+1850+915+943+510+551+1039</f>
        <v>15029</v>
      </c>
    </row>
    <row r="56" spans="1:10" ht="15" thickBot="1">
      <c r="A56" s="79" t="s">
        <v>235</v>
      </c>
      <c r="B56" s="46">
        <v>161550</v>
      </c>
      <c r="C56" s="81">
        <f>31849+21249+27982</f>
        <v>81080</v>
      </c>
      <c r="D56" s="132">
        <f>236+4206+2320+14699+21493+23043+26457+20376+54124+1726</f>
        <v>168680</v>
      </c>
      <c r="E56" s="132">
        <v>679185</v>
      </c>
      <c r="F56" s="185"/>
      <c r="G56" s="185"/>
      <c r="H56" s="181">
        <f>12779+27898+7311+53225+66100+40001+36317+18283</f>
        <v>261914</v>
      </c>
      <c r="J56" s="1" t="s">
        <v>61</v>
      </c>
    </row>
    <row r="57" spans="1:13" ht="14.25">
      <c r="A57" s="51" t="s">
        <v>24</v>
      </c>
      <c r="B57" s="51">
        <v>48880</v>
      </c>
      <c r="C57" s="81">
        <f>25083+24806+39128+27873+22427</f>
        <v>139317</v>
      </c>
      <c r="D57" s="132">
        <f>18608+30231+50170+2930+92055+7681+84537+77568+54112+24125+34803+39324+29995+45209+4967</f>
        <v>596315</v>
      </c>
      <c r="E57" s="132">
        <v>198197</v>
      </c>
      <c r="F57" s="185"/>
      <c r="G57" s="185"/>
      <c r="H57" s="180">
        <f>10250+40114+36227+39306+55248+22494+47041+5682+1846+51254+34370+11130+52611+22466+57016+99855+53806+74644+28124+2398+19786</f>
        <v>765668</v>
      </c>
      <c r="J57" s="41"/>
      <c r="K57" s="31" t="s">
        <v>51</v>
      </c>
      <c r="L57" s="31" t="s">
        <v>57</v>
      </c>
      <c r="M57" s="32" t="s">
        <v>56</v>
      </c>
    </row>
    <row r="58" spans="1:13" ht="14.25">
      <c r="A58" s="51" t="s">
        <v>21</v>
      </c>
      <c r="B58" s="51"/>
      <c r="C58" s="137"/>
      <c r="D58" s="133">
        <v>1009</v>
      </c>
      <c r="E58" s="133">
        <v>1011</v>
      </c>
      <c r="F58" s="186"/>
      <c r="G58" s="186"/>
      <c r="H58" s="180">
        <f>345+172+782+782+299</f>
        <v>2380</v>
      </c>
      <c r="J58" s="48" t="s">
        <v>62</v>
      </c>
      <c r="K58" s="49">
        <f>K46+K31</f>
        <v>3400000</v>
      </c>
      <c r="L58" s="49">
        <f>L46+L31</f>
        <v>4250000</v>
      </c>
      <c r="M58" s="50">
        <f>M46+M31</f>
        <v>4500000</v>
      </c>
    </row>
    <row r="59" spans="1:13" ht="14.25">
      <c r="A59" s="46" t="s">
        <v>107</v>
      </c>
      <c r="B59" s="46">
        <v>229</v>
      </c>
      <c r="C59" s="81"/>
      <c r="D59" s="132"/>
      <c r="E59" s="132"/>
      <c r="F59" s="185"/>
      <c r="G59" s="185"/>
      <c r="H59" s="181"/>
      <c r="J59" s="73" t="s">
        <v>137</v>
      </c>
      <c r="K59" s="29">
        <f>H85+H47</f>
        <v>2016346</v>
      </c>
      <c r="L59" s="29">
        <f>K59</f>
        <v>2016346</v>
      </c>
      <c r="M59" s="42">
        <f>L59</f>
        <v>2016346</v>
      </c>
    </row>
    <row r="60" spans="1:13" ht="14.25">
      <c r="A60" s="79" t="s">
        <v>85</v>
      </c>
      <c r="B60" s="79">
        <v>28100</v>
      </c>
      <c r="C60" s="81"/>
      <c r="D60" s="132"/>
      <c r="E60" s="132"/>
      <c r="F60" s="185"/>
      <c r="G60" s="185"/>
      <c r="H60" s="181"/>
      <c r="J60" s="36" t="s">
        <v>53</v>
      </c>
      <c r="K60" s="29">
        <f>K58-K59</f>
        <v>1383654</v>
      </c>
      <c r="L60" s="29">
        <f>L58-L59</f>
        <v>2233654</v>
      </c>
      <c r="M60" s="42">
        <f>M58-M59</f>
        <v>2483654</v>
      </c>
    </row>
    <row r="61" spans="1:13" ht="14.25">
      <c r="A61" s="79" t="s">
        <v>46</v>
      </c>
      <c r="B61" s="79"/>
      <c r="C61" s="81"/>
      <c r="D61" s="132">
        <f>382+452+516</f>
        <v>1350</v>
      </c>
      <c r="E61" s="132">
        <v>3540</v>
      </c>
      <c r="F61" s="185"/>
      <c r="G61" s="185"/>
      <c r="H61" s="181"/>
      <c r="J61" s="36" t="s">
        <v>54</v>
      </c>
      <c r="K61" s="29">
        <f>$K$34</f>
        <v>7</v>
      </c>
      <c r="L61" s="29">
        <f>$K$34</f>
        <v>7</v>
      </c>
      <c r="M61" s="42">
        <f>$K$34</f>
        <v>7</v>
      </c>
    </row>
    <row r="62" spans="1:13" ht="15" thickBot="1">
      <c r="A62" s="51" t="s">
        <v>79</v>
      </c>
      <c r="B62" s="51"/>
      <c r="C62" s="81"/>
      <c r="D62" s="132"/>
      <c r="E62" s="132"/>
      <c r="F62" s="185"/>
      <c r="G62" s="185"/>
      <c r="H62" s="181"/>
      <c r="J62" s="43" t="s">
        <v>55</v>
      </c>
      <c r="K62" s="33">
        <f>K60/K61</f>
        <v>197664.85714285713</v>
      </c>
      <c r="L62" s="33">
        <f>L60/L61</f>
        <v>319093.4285714286</v>
      </c>
      <c r="M62" s="34">
        <f>M60/M61</f>
        <v>354807.71428571426</v>
      </c>
    </row>
    <row r="63" spans="1:13" ht="14.25">
      <c r="A63" s="79" t="s">
        <v>42</v>
      </c>
      <c r="B63" s="79">
        <v>7700</v>
      </c>
      <c r="C63" s="81"/>
      <c r="D63" s="132"/>
      <c r="E63" s="132"/>
      <c r="F63" s="185"/>
      <c r="G63" s="185"/>
      <c r="H63" s="181">
        <f>301</f>
        <v>301</v>
      </c>
      <c r="I63" s="2"/>
      <c r="J63" s="54"/>
      <c r="K63" s="61"/>
      <c r="L63" s="72"/>
      <c r="M63" s="61"/>
    </row>
    <row r="64" spans="1:13" ht="14.25">
      <c r="A64" s="79" t="s">
        <v>110</v>
      </c>
      <c r="B64" s="79"/>
      <c r="C64" s="81"/>
      <c r="D64" s="132"/>
      <c r="E64" s="132"/>
      <c r="F64" s="185">
        <f>1104+543+810+36+788</f>
        <v>3281</v>
      </c>
      <c r="G64" s="185"/>
      <c r="H64" s="181"/>
      <c r="I64" s="2"/>
      <c r="J64" s="54"/>
      <c r="K64" s="61"/>
      <c r="L64" s="72"/>
      <c r="M64" s="61"/>
    </row>
    <row r="65" spans="1:15" ht="14.25">
      <c r="A65" s="79" t="s">
        <v>111</v>
      </c>
      <c r="B65" s="79">
        <v>302259</v>
      </c>
      <c r="C65" s="81">
        <f>594+1100+5818+12152</f>
        <v>19664</v>
      </c>
      <c r="D65" s="132">
        <f>2544+29810+36024+30166+49500</f>
        <v>148044</v>
      </c>
      <c r="E65" s="132">
        <v>214474</v>
      </c>
      <c r="F65" s="185">
        <f>2277</f>
        <v>2277</v>
      </c>
      <c r="G65" s="185">
        <f>506+828+483+1932+691+510+530+483</f>
        <v>5963</v>
      </c>
      <c r="H65" s="181">
        <f>828+828</f>
        <v>1656</v>
      </c>
      <c r="O65" s="63"/>
    </row>
    <row r="66" spans="1:15" ht="14.25">
      <c r="A66" s="79" t="s">
        <v>236</v>
      </c>
      <c r="B66" s="79"/>
      <c r="C66" s="81"/>
      <c r="D66" s="132"/>
      <c r="E66" s="132"/>
      <c r="F66" s="185"/>
      <c r="G66" s="185"/>
      <c r="H66" s="181">
        <f>11312+40938+53280+39974+13319+25257+27863</f>
        <v>211943</v>
      </c>
      <c r="O66" s="63"/>
    </row>
    <row r="67" spans="1:15" ht="14.25">
      <c r="A67" s="79" t="s">
        <v>77</v>
      </c>
      <c r="B67" s="46"/>
      <c r="C67" s="81"/>
      <c r="D67" s="132"/>
      <c r="E67" s="132"/>
      <c r="F67" s="185"/>
      <c r="G67" s="185"/>
      <c r="H67" s="181"/>
      <c r="O67" s="62"/>
    </row>
    <row r="68" spans="1:15" ht="14.25">
      <c r="A68" s="46" t="s">
        <v>78</v>
      </c>
      <c r="B68" s="46"/>
      <c r="C68" s="81"/>
      <c r="D68" s="132"/>
      <c r="E68" s="132"/>
      <c r="F68" s="185"/>
      <c r="G68" s="185"/>
      <c r="H68" s="181"/>
      <c r="O68" s="62"/>
    </row>
    <row r="69" spans="1:15" ht="14.25">
      <c r="A69" s="46" t="s">
        <v>20</v>
      </c>
      <c r="B69" s="46">
        <v>4109</v>
      </c>
      <c r="C69" s="81">
        <f>352+2002</f>
        <v>2354</v>
      </c>
      <c r="D69" s="132">
        <f>1757+280+280+473+2151</f>
        <v>4941</v>
      </c>
      <c r="E69" s="132"/>
      <c r="F69" s="185"/>
      <c r="G69" s="185"/>
      <c r="H69" s="181"/>
      <c r="J69" s="28"/>
      <c r="O69" s="28"/>
    </row>
    <row r="70" spans="1:15" ht="14.25">
      <c r="A70" s="46" t="s">
        <v>92</v>
      </c>
      <c r="B70" s="46"/>
      <c r="C70" s="81"/>
      <c r="D70" s="132">
        <f>5812+7883</f>
        <v>13695</v>
      </c>
      <c r="E70" s="132"/>
      <c r="F70" s="185"/>
      <c r="G70" s="185"/>
      <c r="H70" s="181"/>
      <c r="J70" s="28"/>
      <c r="O70" s="28"/>
    </row>
    <row r="71" spans="1:8" ht="14.25">
      <c r="A71" s="46" t="s">
        <v>4</v>
      </c>
      <c r="B71" s="46"/>
      <c r="C71" s="81"/>
      <c r="D71" s="132"/>
      <c r="E71" s="132"/>
      <c r="F71" s="185"/>
      <c r="G71" s="185"/>
      <c r="H71" s="181"/>
    </row>
    <row r="72" spans="1:10" ht="14.25">
      <c r="A72" s="46" t="s">
        <v>94</v>
      </c>
      <c r="B72" s="46"/>
      <c r="C72" s="81"/>
      <c r="D72" s="132"/>
      <c r="E72" s="132">
        <v>52499</v>
      </c>
      <c r="F72" s="185"/>
      <c r="G72" s="185"/>
      <c r="H72" s="181"/>
      <c r="J72" s="28"/>
    </row>
    <row r="73" spans="1:10" ht="14.25">
      <c r="A73" s="79" t="s">
        <v>239</v>
      </c>
      <c r="B73" s="46"/>
      <c r="C73" s="81"/>
      <c r="D73" s="132"/>
      <c r="E73" s="132"/>
      <c r="F73" s="185"/>
      <c r="G73" s="185"/>
      <c r="H73" s="181">
        <f>725+599+551+602+604+456+606+454</f>
        <v>4597</v>
      </c>
      <c r="J73" s="28"/>
    </row>
    <row r="74" spans="1:10" ht="14.25">
      <c r="A74" s="79" t="s">
        <v>114</v>
      </c>
      <c r="B74" s="46"/>
      <c r="C74" s="81"/>
      <c r="D74" s="132"/>
      <c r="E74" s="132">
        <v>55959</v>
      </c>
      <c r="F74" s="185"/>
      <c r="G74" s="185"/>
      <c r="H74" s="181"/>
      <c r="J74" s="28"/>
    </row>
    <row r="75" spans="1:8" ht="14.25">
      <c r="A75" s="51" t="s">
        <v>25</v>
      </c>
      <c r="B75" s="51">
        <v>2537</v>
      </c>
      <c r="C75" s="81"/>
      <c r="D75" s="132"/>
      <c r="E75" s="132"/>
      <c r="F75" s="185"/>
      <c r="G75" s="185"/>
      <c r="H75" s="181"/>
    </row>
    <row r="76" spans="1:8" ht="14.25">
      <c r="A76" s="51" t="s">
        <v>23</v>
      </c>
      <c r="B76" s="51"/>
      <c r="C76" s="81"/>
      <c r="D76" s="132"/>
      <c r="E76" s="132"/>
      <c r="F76" s="185"/>
      <c r="G76" s="185"/>
      <c r="H76" s="181"/>
    </row>
    <row r="77" spans="1:8" ht="14.25">
      <c r="A77" s="46" t="s">
        <v>16</v>
      </c>
      <c r="B77" s="46"/>
      <c r="C77" s="81"/>
      <c r="D77" s="132"/>
      <c r="E77" s="132"/>
      <c r="F77" s="185"/>
      <c r="G77" s="185">
        <f>132</f>
        <v>132</v>
      </c>
      <c r="H77" s="181"/>
    </row>
    <row r="78" spans="1:8" ht="14.25">
      <c r="A78" s="46" t="s">
        <v>84</v>
      </c>
      <c r="B78" s="46"/>
      <c r="C78" s="81"/>
      <c r="D78" s="132"/>
      <c r="E78" s="132"/>
      <c r="F78" s="185"/>
      <c r="G78" s="185"/>
      <c r="H78" s="181"/>
    </row>
    <row r="79" spans="1:8" ht="14.25">
      <c r="A79" s="46" t="s">
        <v>86</v>
      </c>
      <c r="B79" s="46"/>
      <c r="C79" s="81"/>
      <c r="D79" s="132"/>
      <c r="E79" s="132"/>
      <c r="F79" s="185"/>
      <c r="G79" s="185"/>
      <c r="H79" s="181"/>
    </row>
    <row r="80" spans="1:8" ht="14.25">
      <c r="A80" s="46" t="s">
        <v>14</v>
      </c>
      <c r="B80" s="46">
        <v>263</v>
      </c>
      <c r="C80" s="81"/>
      <c r="D80" s="132">
        <f>638+633+506+319+1025+397+1008+1075+488+2034+1910+904+1675+1248+531+66+1085+775+587+1489+1543+1213+968+359+174+70+1035+366+951+598+365+69+318+784</f>
        <v>27206</v>
      </c>
      <c r="E80" s="132">
        <v>3617</v>
      </c>
      <c r="F80" s="185">
        <f>33+67+62+35</f>
        <v>197</v>
      </c>
      <c r="G80" s="185">
        <f>394+179+598+197+491+1740+2194+3167+2177+2486+2619+3109+3240+2734+1713+8992+4692+4785+4210+4018+5162+2556+2616+2436+3011+1426+1349+1233+888+249+922+765+670+37+738+355+362+572+1783+1593+332+101+748+5711+244</f>
        <v>89594</v>
      </c>
      <c r="H80" s="181">
        <f>889</f>
        <v>889</v>
      </c>
    </row>
    <row r="81" spans="1:8" ht="14.25">
      <c r="A81" s="51" t="s">
        <v>43</v>
      </c>
      <c r="B81" s="51">
        <v>40800</v>
      </c>
      <c r="C81" s="81"/>
      <c r="D81" s="132"/>
      <c r="E81" s="132"/>
      <c r="F81" s="185"/>
      <c r="G81" s="185"/>
      <c r="H81" s="181"/>
    </row>
    <row r="82" spans="1:8" ht="14.25">
      <c r="A82" s="127" t="s">
        <v>89</v>
      </c>
      <c r="B82" s="105"/>
      <c r="C82" s="80"/>
      <c r="D82" s="132"/>
      <c r="E82" s="132">
        <v>50078</v>
      </c>
      <c r="F82" s="185"/>
      <c r="G82" s="185"/>
      <c r="H82" s="181"/>
    </row>
    <row r="83" spans="1:9" ht="14.25">
      <c r="A83" s="52" t="s">
        <v>48</v>
      </c>
      <c r="B83" s="105"/>
      <c r="C83" s="80"/>
      <c r="D83" s="132"/>
      <c r="E83" s="132"/>
      <c r="F83" s="185"/>
      <c r="G83" s="185"/>
      <c r="H83" s="181"/>
      <c r="I83" s="54"/>
    </row>
    <row r="84" spans="1:9" ht="14.25">
      <c r="A84" s="127" t="s">
        <v>125</v>
      </c>
      <c r="B84" s="105"/>
      <c r="C84" s="80"/>
      <c r="D84" s="132"/>
      <c r="E84" s="132"/>
      <c r="F84" s="185">
        <f>897</f>
        <v>897</v>
      </c>
      <c r="G84" s="185"/>
      <c r="H84" s="181"/>
      <c r="I84" s="54"/>
    </row>
    <row r="85" spans="1:22" ht="14.25">
      <c r="A85" s="47" t="s">
        <v>5</v>
      </c>
      <c r="B85" s="106">
        <f>SUM(B51:B84)</f>
        <v>711250</v>
      </c>
      <c r="C85" s="129">
        <f>SUM(C51:C69)</f>
        <v>392095</v>
      </c>
      <c r="D85" s="138">
        <f>SUM(D51:D84)</f>
        <v>1123009</v>
      </c>
      <c r="E85" s="138">
        <f>SUM(E51:E84)</f>
        <v>1403269</v>
      </c>
      <c r="F85" s="185">
        <f>SUM(F51:F84)</f>
        <v>210799</v>
      </c>
      <c r="G85" s="185">
        <f>SUM(G51:G84)</f>
        <v>289140</v>
      </c>
      <c r="H85" s="181">
        <f>SUM(H51:H84)</f>
        <v>1396922</v>
      </c>
      <c r="I85" s="130">
        <f>'Weekliks-Weekly'!J52</f>
        <v>1396922</v>
      </c>
      <c r="R85" s="3"/>
      <c r="S85" s="3"/>
      <c r="T85" s="3"/>
      <c r="U85" s="3"/>
      <c r="V85" s="3"/>
    </row>
    <row r="86" spans="1:9" ht="12.75">
      <c r="A86" s="47" t="s">
        <v>8</v>
      </c>
      <c r="B86" s="106">
        <f aca="true" t="shared" si="0" ref="B86:G86">B47+B85</f>
        <v>2442493</v>
      </c>
      <c r="C86" s="129">
        <f t="shared" si="0"/>
        <v>1787248</v>
      </c>
      <c r="D86" s="138">
        <f t="shared" si="0"/>
        <v>2024236</v>
      </c>
      <c r="E86" s="138">
        <f t="shared" si="0"/>
        <v>1939283</v>
      </c>
      <c r="F86" s="138">
        <f t="shared" si="0"/>
        <v>667445</v>
      </c>
      <c r="G86" s="138">
        <f t="shared" si="0"/>
        <v>814219</v>
      </c>
      <c r="H86" s="179"/>
      <c r="I86" s="61"/>
    </row>
    <row r="87" ht="12.75">
      <c r="I87" s="28"/>
    </row>
  </sheetData>
  <sheetProtection/>
  <mergeCells count="1">
    <mergeCell ref="J24:J25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6" sqref="A6:G65"/>
    </sheetView>
  </sheetViews>
  <sheetFormatPr defaultColWidth="9.140625" defaultRowHeight="12.75"/>
  <cols>
    <col min="1" max="1" width="14.28125" style="0" customWidth="1"/>
    <col min="2" max="2" width="28.140625" style="0" bestFit="1" customWidth="1"/>
    <col min="3" max="3" width="10.28125" style="0" customWidth="1"/>
    <col min="4" max="4" width="14.421875" style="0" customWidth="1"/>
    <col min="5" max="5" width="15.28125" style="0" customWidth="1"/>
    <col min="6" max="6" width="12.28125" style="0" customWidth="1"/>
    <col min="7" max="7" width="12.140625" style="0" bestFit="1" customWidth="1"/>
  </cols>
  <sheetData>
    <row r="1" spans="1:5" ht="14.25">
      <c r="A1" s="155" t="s">
        <v>159</v>
      </c>
      <c r="B1" s="156"/>
      <c r="C1" s="156"/>
      <c r="D1" s="156"/>
      <c r="E1" s="156"/>
    </row>
    <row r="2" spans="1:5" ht="14.25">
      <c r="A2" s="156"/>
      <c r="B2" s="156"/>
      <c r="C2" s="156"/>
      <c r="D2" s="156"/>
      <c r="E2" s="156"/>
    </row>
    <row r="3" spans="1:5" ht="14.25">
      <c r="A3" s="157" t="s">
        <v>133</v>
      </c>
      <c r="B3" s="158">
        <f>'Weekliks-Weekly'!B59</f>
        <v>0</v>
      </c>
      <c r="C3" s="156"/>
      <c r="D3" s="156"/>
      <c r="E3" s="156"/>
    </row>
    <row r="4" spans="1:5" ht="14.25">
      <c r="A4" s="157" t="s">
        <v>129</v>
      </c>
      <c r="B4" s="159">
        <f>B3</f>
        <v>0</v>
      </c>
      <c r="C4" s="156"/>
      <c r="D4" s="156"/>
      <c r="E4" s="156"/>
    </row>
    <row r="5" spans="1:5" ht="14.25">
      <c r="A5" s="156"/>
      <c r="B5" s="156"/>
      <c r="C5" s="156"/>
      <c r="D5" s="156"/>
      <c r="E5" s="156"/>
    </row>
    <row r="6" spans="1:7" ht="15">
      <c r="A6" s="199" t="s">
        <v>190</v>
      </c>
      <c r="B6" s="200"/>
      <c r="C6" s="200"/>
      <c r="D6" s="200"/>
      <c r="E6" s="200"/>
      <c r="F6" s="200"/>
      <c r="G6" s="201"/>
    </row>
    <row r="7" spans="1:7" ht="15">
      <c r="A7" s="199" t="s">
        <v>150</v>
      </c>
      <c r="B7" s="200"/>
      <c r="C7" s="200"/>
      <c r="D7" s="200"/>
      <c r="E7" s="200"/>
      <c r="F7" s="200"/>
      <c r="G7" s="201"/>
    </row>
    <row r="8" spans="1:7" ht="12.75">
      <c r="A8" s="202" t="s">
        <v>120</v>
      </c>
      <c r="B8" s="203"/>
      <c r="C8" s="203"/>
      <c r="D8" s="203"/>
      <c r="E8" s="203"/>
      <c r="F8" s="203"/>
      <c r="G8" s="204"/>
    </row>
    <row r="9" spans="1:7" ht="12.75">
      <c r="A9" s="192"/>
      <c r="B9" s="192" t="s">
        <v>118</v>
      </c>
      <c r="C9" s="192" t="s">
        <v>119</v>
      </c>
      <c r="D9" s="192" t="s">
        <v>151</v>
      </c>
      <c r="E9" s="192" t="s">
        <v>188</v>
      </c>
      <c r="F9" s="192" t="s">
        <v>226</v>
      </c>
      <c r="G9" s="192" t="s">
        <v>226</v>
      </c>
    </row>
    <row r="10" spans="1:7" ht="12.75">
      <c r="A10" s="190">
        <v>1</v>
      </c>
      <c r="B10" s="190" t="s">
        <v>131</v>
      </c>
      <c r="C10" s="193">
        <v>0</v>
      </c>
      <c r="D10" s="193">
        <v>0</v>
      </c>
      <c r="E10" s="193">
        <v>0</v>
      </c>
      <c r="F10" s="194">
        <f aca="true" t="shared" si="0" ref="F10:F61">SUM(C10:E10)</f>
        <v>0</v>
      </c>
      <c r="G10" s="194">
        <f>F10</f>
        <v>0</v>
      </c>
    </row>
    <row r="11" spans="1:7" ht="12.75">
      <c r="A11" s="190">
        <v>2</v>
      </c>
      <c r="B11" s="190" t="s">
        <v>138</v>
      </c>
      <c r="C11" s="193">
        <v>0</v>
      </c>
      <c r="D11" s="193">
        <v>0</v>
      </c>
      <c r="E11" s="193">
        <v>0</v>
      </c>
      <c r="F11" s="194">
        <f t="shared" si="0"/>
        <v>0</v>
      </c>
      <c r="G11" s="194">
        <f aca="true" t="shared" si="1" ref="G11:G61">F11+G10</f>
        <v>0</v>
      </c>
    </row>
    <row r="12" spans="1:7" ht="12.75">
      <c r="A12" s="190">
        <v>3</v>
      </c>
      <c r="B12" s="190" t="s">
        <v>139</v>
      </c>
      <c r="C12" s="193">
        <v>22313</v>
      </c>
      <c r="D12" s="193">
        <v>0</v>
      </c>
      <c r="E12" s="193">
        <v>0</v>
      </c>
      <c r="F12" s="194">
        <f t="shared" si="0"/>
        <v>22313</v>
      </c>
      <c r="G12" s="194">
        <f t="shared" si="1"/>
        <v>22313</v>
      </c>
    </row>
    <row r="13" spans="1:7" ht="12.75">
      <c r="A13" s="190">
        <v>4</v>
      </c>
      <c r="B13" s="190" t="s">
        <v>140</v>
      </c>
      <c r="C13" s="193">
        <v>0</v>
      </c>
      <c r="D13" s="193">
        <v>0</v>
      </c>
      <c r="E13" s="193">
        <v>0</v>
      </c>
      <c r="F13" s="194">
        <f t="shared" si="0"/>
        <v>0</v>
      </c>
      <c r="G13" s="194">
        <f t="shared" si="1"/>
        <v>22313</v>
      </c>
    </row>
    <row r="14" spans="1:7" ht="12.75">
      <c r="A14" s="190">
        <v>5</v>
      </c>
      <c r="B14" s="190" t="s">
        <v>141</v>
      </c>
      <c r="C14" s="193">
        <v>0</v>
      </c>
      <c r="D14" s="193">
        <v>0</v>
      </c>
      <c r="E14" s="193">
        <v>0</v>
      </c>
      <c r="F14" s="194">
        <f t="shared" si="0"/>
        <v>0</v>
      </c>
      <c r="G14" s="194">
        <f t="shared" si="1"/>
        <v>22313</v>
      </c>
    </row>
    <row r="15" spans="1:7" ht="12.75">
      <c r="A15" s="190">
        <v>6</v>
      </c>
      <c r="B15" s="190" t="s">
        <v>142</v>
      </c>
      <c r="C15" s="193">
        <v>0</v>
      </c>
      <c r="D15" s="193">
        <v>0</v>
      </c>
      <c r="E15" s="193">
        <v>0</v>
      </c>
      <c r="F15" s="194">
        <f t="shared" si="0"/>
        <v>0</v>
      </c>
      <c r="G15" s="194">
        <f t="shared" si="1"/>
        <v>22313</v>
      </c>
    </row>
    <row r="16" spans="1:7" ht="12.75">
      <c r="A16" s="190">
        <v>7</v>
      </c>
      <c r="B16" s="190" t="s">
        <v>143</v>
      </c>
      <c r="C16" s="193">
        <v>0</v>
      </c>
      <c r="D16" s="193">
        <v>0</v>
      </c>
      <c r="E16" s="193">
        <v>0</v>
      </c>
      <c r="F16" s="194">
        <f t="shared" si="0"/>
        <v>0</v>
      </c>
      <c r="G16" s="194">
        <f t="shared" si="1"/>
        <v>22313</v>
      </c>
    </row>
    <row r="17" spans="1:7" ht="12.75">
      <c r="A17" s="190">
        <v>8</v>
      </c>
      <c r="B17" s="190" t="s">
        <v>144</v>
      </c>
      <c r="C17" s="193">
        <v>0</v>
      </c>
      <c r="D17" s="193">
        <v>0</v>
      </c>
      <c r="E17" s="193">
        <v>0</v>
      </c>
      <c r="F17" s="194">
        <f t="shared" si="0"/>
        <v>0</v>
      </c>
      <c r="G17" s="194">
        <f t="shared" si="1"/>
        <v>22313</v>
      </c>
    </row>
    <row r="18" spans="1:7" ht="12.75">
      <c r="A18" s="190">
        <v>9</v>
      </c>
      <c r="B18" s="190" t="s">
        <v>145</v>
      </c>
      <c r="C18" s="193">
        <v>1646</v>
      </c>
      <c r="D18" s="193">
        <v>0</v>
      </c>
      <c r="E18" s="193">
        <v>0</v>
      </c>
      <c r="F18" s="194">
        <f t="shared" si="0"/>
        <v>1646</v>
      </c>
      <c r="G18" s="194">
        <f t="shared" si="1"/>
        <v>23959</v>
      </c>
    </row>
    <row r="19" spans="1:7" ht="12.75">
      <c r="A19" s="190">
        <v>10</v>
      </c>
      <c r="B19" s="190" t="s">
        <v>146</v>
      </c>
      <c r="C19" s="193">
        <v>42211</v>
      </c>
      <c r="D19" s="193">
        <v>13807</v>
      </c>
      <c r="E19" s="193">
        <v>0</v>
      </c>
      <c r="F19" s="194">
        <f t="shared" si="0"/>
        <v>56018</v>
      </c>
      <c r="G19" s="194">
        <f t="shared" si="1"/>
        <v>79977</v>
      </c>
    </row>
    <row r="20" spans="1:7" ht="12.75">
      <c r="A20" s="190">
        <v>11</v>
      </c>
      <c r="B20" s="190" t="s">
        <v>147</v>
      </c>
      <c r="C20" s="193">
        <v>18983</v>
      </c>
      <c r="D20" s="193">
        <v>0</v>
      </c>
      <c r="E20" s="193">
        <v>0</v>
      </c>
      <c r="F20" s="194">
        <f t="shared" si="0"/>
        <v>18983</v>
      </c>
      <c r="G20" s="194">
        <f t="shared" si="1"/>
        <v>98960</v>
      </c>
    </row>
    <row r="21" spans="1:7" ht="12.75">
      <c r="A21" s="190">
        <v>12</v>
      </c>
      <c r="B21" s="190" t="s">
        <v>149</v>
      </c>
      <c r="C21" s="193">
        <v>31496</v>
      </c>
      <c r="D21" s="193">
        <v>600</v>
      </c>
      <c r="E21" s="193">
        <v>0</v>
      </c>
      <c r="F21" s="194">
        <f t="shared" si="0"/>
        <v>32096</v>
      </c>
      <c r="G21" s="194">
        <f t="shared" si="1"/>
        <v>131056</v>
      </c>
    </row>
    <row r="22" spans="1:7" ht="12.75">
      <c r="A22" s="190">
        <v>13</v>
      </c>
      <c r="B22" s="190" t="s">
        <v>152</v>
      </c>
      <c r="C22" s="193">
        <v>7745</v>
      </c>
      <c r="D22" s="193">
        <v>15815</v>
      </c>
      <c r="E22" s="193">
        <v>0</v>
      </c>
      <c r="F22" s="194">
        <f t="shared" si="0"/>
        <v>23560</v>
      </c>
      <c r="G22" s="194">
        <f t="shared" si="1"/>
        <v>154616</v>
      </c>
    </row>
    <row r="23" spans="1:7" ht="12.75">
      <c r="A23" s="190">
        <v>14</v>
      </c>
      <c r="B23" s="190" t="s">
        <v>156</v>
      </c>
      <c r="C23" s="193">
        <v>17262</v>
      </c>
      <c r="D23" s="193">
        <v>0</v>
      </c>
      <c r="E23" s="193">
        <v>0</v>
      </c>
      <c r="F23" s="194">
        <f t="shared" si="0"/>
        <v>17262</v>
      </c>
      <c r="G23" s="194">
        <f t="shared" si="1"/>
        <v>171878</v>
      </c>
    </row>
    <row r="24" spans="1:7" ht="12.75">
      <c r="A24" s="190">
        <v>15</v>
      </c>
      <c r="B24" s="190" t="s">
        <v>157</v>
      </c>
      <c r="C24" s="193">
        <v>0</v>
      </c>
      <c r="D24" s="193">
        <v>2894</v>
      </c>
      <c r="E24" s="193">
        <v>0</v>
      </c>
      <c r="F24" s="194">
        <f t="shared" si="0"/>
        <v>2894</v>
      </c>
      <c r="G24" s="194">
        <f t="shared" si="1"/>
        <v>174772</v>
      </c>
    </row>
    <row r="25" spans="1:7" ht="12.75">
      <c r="A25" s="190">
        <v>16</v>
      </c>
      <c r="B25" s="190" t="s">
        <v>163</v>
      </c>
      <c r="C25" s="193">
        <v>28877</v>
      </c>
      <c r="D25" s="193">
        <v>13605</v>
      </c>
      <c r="E25" s="193">
        <v>0</v>
      </c>
      <c r="F25" s="194">
        <f t="shared" si="0"/>
        <v>42482</v>
      </c>
      <c r="G25" s="194">
        <f t="shared" si="1"/>
        <v>217254</v>
      </c>
    </row>
    <row r="26" spans="1:7" ht="12.75">
      <c r="A26" s="190">
        <v>17</v>
      </c>
      <c r="B26" s="190" t="s">
        <v>164</v>
      </c>
      <c r="C26" s="193">
        <v>58091</v>
      </c>
      <c r="D26" s="193">
        <v>0</v>
      </c>
      <c r="E26" s="193">
        <v>0</v>
      </c>
      <c r="F26" s="194">
        <f t="shared" si="0"/>
        <v>58091</v>
      </c>
      <c r="G26" s="194">
        <f t="shared" si="1"/>
        <v>275345</v>
      </c>
    </row>
    <row r="27" spans="1:7" ht="12.75">
      <c r="A27" s="190">
        <v>18</v>
      </c>
      <c r="B27" s="190" t="s">
        <v>165</v>
      </c>
      <c r="C27" s="193">
        <v>14049</v>
      </c>
      <c r="D27" s="193">
        <v>4542</v>
      </c>
      <c r="E27" s="193">
        <v>0</v>
      </c>
      <c r="F27" s="194">
        <f t="shared" si="0"/>
        <v>18591</v>
      </c>
      <c r="G27" s="194">
        <f t="shared" si="1"/>
        <v>293936</v>
      </c>
    </row>
    <row r="28" spans="1:7" ht="12.75">
      <c r="A28" s="190">
        <v>19</v>
      </c>
      <c r="B28" s="190" t="s">
        <v>176</v>
      </c>
      <c r="C28" s="193">
        <v>65488</v>
      </c>
      <c r="D28" s="193">
        <v>8978</v>
      </c>
      <c r="E28" s="193">
        <v>0</v>
      </c>
      <c r="F28" s="194">
        <f t="shared" si="0"/>
        <v>74466</v>
      </c>
      <c r="G28" s="194">
        <f t="shared" si="1"/>
        <v>368402</v>
      </c>
    </row>
    <row r="29" spans="1:7" ht="12.75">
      <c r="A29" s="190">
        <v>20</v>
      </c>
      <c r="B29" s="190" t="s">
        <v>177</v>
      </c>
      <c r="C29" s="193">
        <v>0</v>
      </c>
      <c r="D29" s="193">
        <v>0</v>
      </c>
      <c r="E29" s="193">
        <v>0</v>
      </c>
      <c r="F29" s="194">
        <f t="shared" si="0"/>
        <v>0</v>
      </c>
      <c r="G29" s="194">
        <f t="shared" si="1"/>
        <v>368402</v>
      </c>
    </row>
    <row r="30" spans="1:7" ht="12.75">
      <c r="A30" s="190">
        <v>21</v>
      </c>
      <c r="B30" s="190" t="s">
        <v>178</v>
      </c>
      <c r="C30" s="193">
        <v>0</v>
      </c>
      <c r="D30" s="193">
        <v>17504</v>
      </c>
      <c r="E30" s="193">
        <v>0</v>
      </c>
      <c r="F30" s="194">
        <f t="shared" si="0"/>
        <v>17504</v>
      </c>
      <c r="G30" s="194">
        <f t="shared" si="1"/>
        <v>385906</v>
      </c>
    </row>
    <row r="31" spans="1:7" ht="12.75">
      <c r="A31" s="190">
        <v>22</v>
      </c>
      <c r="B31" s="190" t="s">
        <v>179</v>
      </c>
      <c r="C31" s="193">
        <v>33320</v>
      </c>
      <c r="D31" s="193">
        <v>0</v>
      </c>
      <c r="E31" s="193">
        <v>0</v>
      </c>
      <c r="F31" s="194">
        <f t="shared" si="0"/>
        <v>33320</v>
      </c>
      <c r="G31" s="194">
        <f t="shared" si="1"/>
        <v>419226</v>
      </c>
    </row>
    <row r="32" spans="1:7" ht="12.75">
      <c r="A32" s="190">
        <v>23</v>
      </c>
      <c r="B32" s="190" t="s">
        <v>180</v>
      </c>
      <c r="C32" s="193">
        <v>20565</v>
      </c>
      <c r="D32" s="193">
        <v>0</v>
      </c>
      <c r="E32" s="193">
        <v>0</v>
      </c>
      <c r="F32" s="194">
        <f t="shared" si="0"/>
        <v>20565</v>
      </c>
      <c r="G32" s="194">
        <f t="shared" si="1"/>
        <v>439791</v>
      </c>
    </row>
    <row r="33" spans="1:7" ht="12.75">
      <c r="A33" s="190">
        <v>24</v>
      </c>
      <c r="B33" s="190" t="s">
        <v>181</v>
      </c>
      <c r="C33" s="193">
        <v>6544</v>
      </c>
      <c r="D33" s="193">
        <v>0</v>
      </c>
      <c r="E33" s="193">
        <v>0</v>
      </c>
      <c r="F33" s="194">
        <f t="shared" si="0"/>
        <v>6544</v>
      </c>
      <c r="G33" s="194">
        <f t="shared" si="1"/>
        <v>446335</v>
      </c>
    </row>
    <row r="34" spans="1:7" ht="12.75">
      <c r="A34" s="190">
        <v>25</v>
      </c>
      <c r="B34" s="190" t="s">
        <v>182</v>
      </c>
      <c r="C34" s="193">
        <v>28262</v>
      </c>
      <c r="D34" s="193">
        <v>0</v>
      </c>
      <c r="E34" s="193">
        <v>0</v>
      </c>
      <c r="F34" s="194">
        <f t="shared" si="0"/>
        <v>28262</v>
      </c>
      <c r="G34" s="194">
        <f t="shared" si="1"/>
        <v>474597</v>
      </c>
    </row>
    <row r="35" spans="1:7" ht="12.75">
      <c r="A35" s="190">
        <v>26</v>
      </c>
      <c r="B35" s="190" t="s">
        <v>184</v>
      </c>
      <c r="C35" s="193">
        <v>36656</v>
      </c>
      <c r="D35" s="193">
        <v>20660</v>
      </c>
      <c r="E35" s="193">
        <v>0</v>
      </c>
      <c r="F35" s="194">
        <f t="shared" si="0"/>
        <v>57316</v>
      </c>
      <c r="G35" s="194">
        <f t="shared" si="1"/>
        <v>531913</v>
      </c>
    </row>
    <row r="36" spans="1:7" ht="12.75">
      <c r="A36" s="190">
        <v>27</v>
      </c>
      <c r="B36" s="190" t="s">
        <v>185</v>
      </c>
      <c r="C36" s="193">
        <v>57153</v>
      </c>
      <c r="D36" s="193">
        <v>5843</v>
      </c>
      <c r="E36" s="193">
        <v>0</v>
      </c>
      <c r="F36" s="194">
        <f t="shared" si="0"/>
        <v>62996</v>
      </c>
      <c r="G36" s="194">
        <f t="shared" si="1"/>
        <v>594909</v>
      </c>
    </row>
    <row r="37" spans="1:7" ht="12.75">
      <c r="A37" s="190">
        <v>28</v>
      </c>
      <c r="B37" s="190" t="s">
        <v>186</v>
      </c>
      <c r="C37" s="193">
        <v>18023</v>
      </c>
      <c r="D37" s="193">
        <v>0</v>
      </c>
      <c r="E37" s="193">
        <v>0</v>
      </c>
      <c r="F37" s="194">
        <f t="shared" si="0"/>
        <v>18023</v>
      </c>
      <c r="G37" s="194">
        <f t="shared" si="1"/>
        <v>612932</v>
      </c>
    </row>
    <row r="38" spans="1:7" ht="12.75">
      <c r="A38" s="190">
        <v>29</v>
      </c>
      <c r="B38" s="190" t="s">
        <v>187</v>
      </c>
      <c r="C38" s="193">
        <v>49972</v>
      </c>
      <c r="D38" s="193">
        <v>0</v>
      </c>
      <c r="E38" s="193">
        <v>2482</v>
      </c>
      <c r="F38" s="194">
        <f t="shared" si="0"/>
        <v>52454</v>
      </c>
      <c r="G38" s="194">
        <f t="shared" si="1"/>
        <v>665386</v>
      </c>
    </row>
    <row r="39" spans="1:7" ht="12.75">
      <c r="A39" s="190">
        <v>30</v>
      </c>
      <c r="B39" s="190" t="s">
        <v>189</v>
      </c>
      <c r="C39" s="193">
        <v>28646</v>
      </c>
      <c r="D39" s="193">
        <v>11475</v>
      </c>
      <c r="E39" s="193">
        <v>7805</v>
      </c>
      <c r="F39" s="194">
        <f t="shared" si="0"/>
        <v>47926</v>
      </c>
      <c r="G39" s="194">
        <f t="shared" si="1"/>
        <v>713312</v>
      </c>
    </row>
    <row r="40" spans="1:7" ht="12.75">
      <c r="A40" s="190">
        <v>31</v>
      </c>
      <c r="B40" s="190" t="s">
        <v>191</v>
      </c>
      <c r="C40" s="193">
        <v>32601</v>
      </c>
      <c r="D40" s="193">
        <v>9267</v>
      </c>
      <c r="E40" s="193">
        <v>0</v>
      </c>
      <c r="F40" s="194">
        <f t="shared" si="0"/>
        <v>41868</v>
      </c>
      <c r="G40" s="194">
        <f t="shared" si="1"/>
        <v>755180</v>
      </c>
    </row>
    <row r="41" spans="1:7" ht="12.75">
      <c r="A41" s="190">
        <v>32</v>
      </c>
      <c r="B41" s="190" t="s">
        <v>192</v>
      </c>
      <c r="C41" s="193">
        <v>0</v>
      </c>
      <c r="D41" s="193">
        <v>0</v>
      </c>
      <c r="E41" s="193">
        <v>0</v>
      </c>
      <c r="F41" s="194">
        <f t="shared" si="0"/>
        <v>0</v>
      </c>
      <c r="G41" s="194">
        <f t="shared" si="1"/>
        <v>755180</v>
      </c>
    </row>
    <row r="42" spans="1:7" ht="12.75">
      <c r="A42" s="190">
        <v>33</v>
      </c>
      <c r="B42" s="190" t="s">
        <v>193</v>
      </c>
      <c r="C42" s="193">
        <v>0</v>
      </c>
      <c r="D42" s="193">
        <v>0</v>
      </c>
      <c r="E42" s="193">
        <v>0</v>
      </c>
      <c r="F42" s="194">
        <f t="shared" si="0"/>
        <v>0</v>
      </c>
      <c r="G42" s="194">
        <f t="shared" si="1"/>
        <v>755180</v>
      </c>
    </row>
    <row r="43" spans="1:7" ht="12.75">
      <c r="A43" s="190">
        <v>34</v>
      </c>
      <c r="B43" s="190" t="s">
        <v>194</v>
      </c>
      <c r="C43" s="193">
        <v>0</v>
      </c>
      <c r="D43" s="193">
        <v>0</v>
      </c>
      <c r="E43" s="193">
        <v>0</v>
      </c>
      <c r="F43" s="194">
        <f t="shared" si="0"/>
        <v>0</v>
      </c>
      <c r="G43" s="194">
        <f t="shared" si="1"/>
        <v>755180</v>
      </c>
    </row>
    <row r="44" spans="1:7" ht="12.75">
      <c r="A44" s="190">
        <v>35</v>
      </c>
      <c r="B44" s="190" t="s">
        <v>195</v>
      </c>
      <c r="C44" s="193">
        <v>17521</v>
      </c>
      <c r="D44" s="193">
        <v>26061</v>
      </c>
      <c r="E44" s="193">
        <v>0</v>
      </c>
      <c r="F44" s="194">
        <f t="shared" si="0"/>
        <v>43582</v>
      </c>
      <c r="G44" s="194">
        <f t="shared" si="1"/>
        <v>798762</v>
      </c>
    </row>
    <row r="45" spans="1:7" ht="12.75">
      <c r="A45" s="190">
        <v>36</v>
      </c>
      <c r="B45" s="190" t="s">
        <v>197</v>
      </c>
      <c r="C45" s="193">
        <v>4145</v>
      </c>
      <c r="D45" s="193">
        <v>0</v>
      </c>
      <c r="E45" s="193">
        <v>0</v>
      </c>
      <c r="F45" s="194">
        <f t="shared" si="0"/>
        <v>4145</v>
      </c>
      <c r="G45" s="194">
        <f t="shared" si="1"/>
        <v>802907</v>
      </c>
    </row>
    <row r="46" spans="1:7" ht="12.75">
      <c r="A46" s="190">
        <v>37</v>
      </c>
      <c r="B46" s="190" t="s">
        <v>198</v>
      </c>
      <c r="C46" s="193">
        <v>26531</v>
      </c>
      <c r="D46" s="193">
        <v>0</v>
      </c>
      <c r="E46" s="193">
        <v>0</v>
      </c>
      <c r="F46" s="194">
        <f t="shared" si="0"/>
        <v>26531</v>
      </c>
      <c r="G46" s="194">
        <f t="shared" si="1"/>
        <v>829438</v>
      </c>
    </row>
    <row r="47" spans="1:7" ht="12.75">
      <c r="A47" s="190">
        <v>38</v>
      </c>
      <c r="B47" s="190" t="s">
        <v>199</v>
      </c>
      <c r="C47" s="193">
        <v>0</v>
      </c>
      <c r="D47" s="193">
        <v>0</v>
      </c>
      <c r="E47" s="193">
        <v>0</v>
      </c>
      <c r="F47" s="194">
        <f t="shared" si="0"/>
        <v>0</v>
      </c>
      <c r="G47" s="194">
        <f t="shared" si="1"/>
        <v>829438</v>
      </c>
    </row>
    <row r="48" spans="1:7" ht="12.75">
      <c r="A48" s="190">
        <v>39</v>
      </c>
      <c r="B48" s="190" t="s">
        <v>201</v>
      </c>
      <c r="C48" s="193">
        <v>17090</v>
      </c>
      <c r="D48" s="193">
        <v>4307</v>
      </c>
      <c r="E48" s="193">
        <v>0</v>
      </c>
      <c r="F48" s="194">
        <f t="shared" si="0"/>
        <v>21397</v>
      </c>
      <c r="G48" s="194">
        <f t="shared" si="1"/>
        <v>850835</v>
      </c>
    </row>
    <row r="49" spans="1:7" ht="12.75">
      <c r="A49" s="190">
        <v>40</v>
      </c>
      <c r="B49" s="190" t="s">
        <v>204</v>
      </c>
      <c r="C49" s="193">
        <v>0</v>
      </c>
      <c r="D49" s="193">
        <v>16740</v>
      </c>
      <c r="E49" s="193">
        <v>0</v>
      </c>
      <c r="F49" s="194">
        <f t="shared" si="0"/>
        <v>16740</v>
      </c>
      <c r="G49" s="194">
        <f t="shared" si="1"/>
        <v>867575</v>
      </c>
    </row>
    <row r="50" spans="1:7" ht="12.75">
      <c r="A50" s="190">
        <v>41</v>
      </c>
      <c r="B50" s="190" t="s">
        <v>207</v>
      </c>
      <c r="C50" s="193">
        <v>0</v>
      </c>
      <c r="D50" s="193">
        <v>3590</v>
      </c>
      <c r="E50" s="193">
        <v>0</v>
      </c>
      <c r="F50" s="194">
        <f t="shared" si="0"/>
        <v>3590</v>
      </c>
      <c r="G50" s="194">
        <f t="shared" si="1"/>
        <v>871165</v>
      </c>
    </row>
    <row r="51" spans="1:7" ht="12.75">
      <c r="A51" s="190">
        <v>42</v>
      </c>
      <c r="B51" s="190" t="s">
        <v>208</v>
      </c>
      <c r="C51" s="193">
        <v>0</v>
      </c>
      <c r="D51" s="193">
        <v>0</v>
      </c>
      <c r="E51" s="193">
        <v>0</v>
      </c>
      <c r="F51" s="194">
        <f t="shared" si="0"/>
        <v>0</v>
      </c>
      <c r="G51" s="194">
        <f t="shared" si="1"/>
        <v>871165</v>
      </c>
    </row>
    <row r="52" spans="1:7" ht="12.75">
      <c r="A52" s="190">
        <v>43</v>
      </c>
      <c r="B52" s="190" t="s">
        <v>210</v>
      </c>
      <c r="C52" s="193">
        <v>0</v>
      </c>
      <c r="D52" s="193">
        <v>0</v>
      </c>
      <c r="E52" s="193">
        <v>0</v>
      </c>
      <c r="F52" s="194">
        <f t="shared" si="0"/>
        <v>0</v>
      </c>
      <c r="G52" s="194">
        <f t="shared" si="1"/>
        <v>871165</v>
      </c>
    </row>
    <row r="53" spans="1:7" ht="12.75">
      <c r="A53" s="190">
        <v>44</v>
      </c>
      <c r="B53" s="190" t="s">
        <v>212</v>
      </c>
      <c r="C53" s="193">
        <v>0</v>
      </c>
      <c r="D53" s="193">
        <v>0</v>
      </c>
      <c r="E53" s="193">
        <v>0</v>
      </c>
      <c r="F53" s="194">
        <f t="shared" si="0"/>
        <v>0</v>
      </c>
      <c r="G53" s="194">
        <f t="shared" si="1"/>
        <v>871165</v>
      </c>
    </row>
    <row r="54" spans="1:7" ht="12.75">
      <c r="A54" s="190">
        <v>45</v>
      </c>
      <c r="B54" s="190" t="s">
        <v>213</v>
      </c>
      <c r="C54" s="193">
        <v>0</v>
      </c>
      <c r="D54" s="193">
        <v>0</v>
      </c>
      <c r="E54" s="193">
        <v>0</v>
      </c>
      <c r="F54" s="194">
        <f t="shared" si="0"/>
        <v>0</v>
      </c>
      <c r="G54" s="194">
        <f t="shared" si="1"/>
        <v>871165</v>
      </c>
    </row>
    <row r="55" spans="1:7" ht="12.75">
      <c r="A55" s="190">
        <v>46</v>
      </c>
      <c r="B55" s="190" t="s">
        <v>214</v>
      </c>
      <c r="C55" s="193">
        <v>16455</v>
      </c>
      <c r="D55" s="193">
        <v>0</v>
      </c>
      <c r="E55" s="193">
        <v>0</v>
      </c>
      <c r="F55" s="194">
        <f t="shared" si="0"/>
        <v>16455</v>
      </c>
      <c r="G55" s="194">
        <f t="shared" si="1"/>
        <v>887620</v>
      </c>
    </row>
    <row r="56" spans="1:7" ht="12.75">
      <c r="A56" s="190">
        <v>47</v>
      </c>
      <c r="B56" s="190" t="s">
        <v>215</v>
      </c>
      <c r="C56" s="193">
        <v>560</v>
      </c>
      <c r="D56" s="193">
        <v>10652</v>
      </c>
      <c r="E56" s="193">
        <v>0</v>
      </c>
      <c r="F56" s="194">
        <f t="shared" si="0"/>
        <v>11212</v>
      </c>
      <c r="G56" s="194">
        <f t="shared" si="1"/>
        <v>898832</v>
      </c>
    </row>
    <row r="57" spans="1:7" ht="12.75">
      <c r="A57" s="190">
        <v>48</v>
      </c>
      <c r="B57" s="190" t="s">
        <v>217</v>
      </c>
      <c r="C57" s="193">
        <v>0</v>
      </c>
      <c r="D57" s="193">
        <v>14068</v>
      </c>
      <c r="E57" s="193">
        <v>0</v>
      </c>
      <c r="F57" s="194">
        <f t="shared" si="0"/>
        <v>14068</v>
      </c>
      <c r="G57" s="194">
        <f t="shared" si="1"/>
        <v>912900</v>
      </c>
    </row>
    <row r="58" spans="1:7" ht="12.75">
      <c r="A58" s="190">
        <v>49</v>
      </c>
      <c r="B58" s="190" t="s">
        <v>219</v>
      </c>
      <c r="C58" s="193">
        <v>0</v>
      </c>
      <c r="D58" s="193">
        <v>0</v>
      </c>
      <c r="E58" s="193">
        <v>0</v>
      </c>
      <c r="F58" s="194">
        <f t="shared" si="0"/>
        <v>0</v>
      </c>
      <c r="G58" s="194">
        <f t="shared" si="1"/>
        <v>912900</v>
      </c>
    </row>
    <row r="59" spans="1:7" ht="12.75">
      <c r="A59" s="190">
        <v>50</v>
      </c>
      <c r="B59" s="190" t="s">
        <v>220</v>
      </c>
      <c r="C59" s="193">
        <v>0</v>
      </c>
      <c r="D59" s="193">
        <v>0</v>
      </c>
      <c r="E59" s="193">
        <v>0</v>
      </c>
      <c r="F59" s="194">
        <f t="shared" si="0"/>
        <v>0</v>
      </c>
      <c r="G59" s="194">
        <f t="shared" si="1"/>
        <v>912900</v>
      </c>
    </row>
    <row r="60" spans="1:7" ht="12.75">
      <c r="A60" s="190">
        <v>51</v>
      </c>
      <c r="B60" s="190" t="s">
        <v>223</v>
      </c>
      <c r="C60" s="193">
        <v>0</v>
      </c>
      <c r="D60" s="193">
        <v>0</v>
      </c>
      <c r="E60" s="193">
        <v>0</v>
      </c>
      <c r="F60" s="194">
        <f t="shared" si="0"/>
        <v>0</v>
      </c>
      <c r="G60" s="194">
        <f t="shared" si="1"/>
        <v>912900</v>
      </c>
    </row>
    <row r="61" spans="1:7" ht="12.75">
      <c r="A61" s="190">
        <v>52</v>
      </c>
      <c r="B61" s="190" t="s">
        <v>224</v>
      </c>
      <c r="C61" s="193">
        <v>0</v>
      </c>
      <c r="D61" s="193">
        <v>0</v>
      </c>
      <c r="E61" s="193">
        <v>0</v>
      </c>
      <c r="F61" s="194">
        <f t="shared" si="0"/>
        <v>0</v>
      </c>
      <c r="G61" s="194">
        <f t="shared" si="1"/>
        <v>912900</v>
      </c>
    </row>
    <row r="62" spans="1:7" ht="12.75">
      <c r="A62" s="190" t="s">
        <v>120</v>
      </c>
      <c r="B62" s="190" t="s">
        <v>121</v>
      </c>
      <c r="C62" s="194">
        <f>SUM(C10:C61)</f>
        <v>702205</v>
      </c>
      <c r="D62" s="194">
        <f>SUM(D10:D61)</f>
        <v>200408</v>
      </c>
      <c r="E62" s="194">
        <f>SUM(E10:E61)</f>
        <v>10287</v>
      </c>
      <c r="F62" s="194">
        <f>SUM(F10:F61)</f>
        <v>912900</v>
      </c>
      <c r="G62" s="194"/>
    </row>
    <row r="63" spans="1:7" ht="12.75">
      <c r="A63" s="191"/>
      <c r="B63" s="191"/>
      <c r="C63" s="191"/>
      <c r="D63" s="191"/>
      <c r="E63" s="191"/>
      <c r="F63" s="191"/>
      <c r="G63" s="191"/>
    </row>
    <row r="64" spans="1:7" ht="14.25">
      <c r="A64" s="188" t="s">
        <v>227</v>
      </c>
      <c r="B64" s="188"/>
      <c r="D64" s="191"/>
      <c r="E64" s="191"/>
      <c r="F64" s="191"/>
      <c r="G64" s="191"/>
    </row>
    <row r="65" spans="1:7" ht="14.25">
      <c r="A65" s="188" t="s">
        <v>228</v>
      </c>
      <c r="B65" s="188"/>
      <c r="D65" s="191"/>
      <c r="E65" s="191"/>
      <c r="F65" s="191"/>
      <c r="G65" s="191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6" sqref="A6:H65"/>
    </sheetView>
  </sheetViews>
  <sheetFormatPr defaultColWidth="9.140625" defaultRowHeight="12.75"/>
  <cols>
    <col min="1" max="1" width="14.140625" style="0" customWidth="1"/>
    <col min="2" max="2" width="27.28125" style="0" bestFit="1" customWidth="1"/>
    <col min="3" max="3" width="12.00390625" style="0" bestFit="1" customWidth="1"/>
    <col min="4" max="4" width="7.8515625" style="0" bestFit="1" customWidth="1"/>
    <col min="5" max="6" width="12.8515625" style="0" bestFit="1" customWidth="1"/>
    <col min="7" max="7" width="12.00390625" style="0" bestFit="1" customWidth="1"/>
    <col min="8" max="8" width="12.140625" style="0" bestFit="1" customWidth="1"/>
    <col min="9" max="9" width="11.140625" style="0" bestFit="1" customWidth="1"/>
  </cols>
  <sheetData>
    <row r="1" spans="1:6" ht="14.25">
      <c r="A1" s="155" t="s">
        <v>158</v>
      </c>
      <c r="B1" s="156"/>
      <c r="C1" s="156"/>
      <c r="D1" s="156"/>
      <c r="E1" s="156"/>
      <c r="F1" s="156"/>
    </row>
    <row r="2" spans="1:6" ht="14.25">
      <c r="A2" s="156"/>
      <c r="B2" s="156"/>
      <c r="C2" s="156"/>
      <c r="D2" s="156"/>
      <c r="E2" s="156"/>
      <c r="F2" s="156"/>
    </row>
    <row r="3" spans="1:6" ht="14.25">
      <c r="A3" s="157" t="s">
        <v>133</v>
      </c>
      <c r="B3" s="158">
        <f>'Weekliks-Weekly'!B59</f>
        <v>0</v>
      </c>
      <c r="C3" s="156"/>
      <c r="D3" s="156"/>
      <c r="E3" s="156"/>
      <c r="F3" s="156"/>
    </row>
    <row r="4" spans="1:6" ht="14.25">
      <c r="A4" s="157" t="s">
        <v>129</v>
      </c>
      <c r="B4" s="159">
        <f>B3</f>
        <v>0</v>
      </c>
      <c r="C4" s="156"/>
      <c r="D4" s="156"/>
      <c r="E4" s="156"/>
      <c r="F4" s="156"/>
    </row>
    <row r="5" spans="1:6" ht="14.25">
      <c r="A5" s="156"/>
      <c r="B5" s="156"/>
      <c r="C5" s="156"/>
      <c r="D5" s="156"/>
      <c r="E5" s="156"/>
      <c r="F5" s="156"/>
    </row>
    <row r="6" spans="1:8" ht="15">
      <c r="A6" s="199" t="s">
        <v>202</v>
      </c>
      <c r="B6" s="200"/>
      <c r="C6" s="200"/>
      <c r="D6" s="200"/>
      <c r="E6" s="200"/>
      <c r="F6" s="200"/>
      <c r="G6" s="200"/>
      <c r="H6" s="201"/>
    </row>
    <row r="7" spans="1:8" ht="15">
      <c r="A7" s="199" t="s">
        <v>130</v>
      </c>
      <c r="B7" s="200"/>
      <c r="C7" s="200"/>
      <c r="D7" s="200"/>
      <c r="E7" s="200"/>
      <c r="F7" s="200"/>
      <c r="G7" s="200"/>
      <c r="H7" s="201"/>
    </row>
    <row r="8" spans="1:8" ht="12.75">
      <c r="A8" s="202" t="s">
        <v>120</v>
      </c>
      <c r="B8" s="203"/>
      <c r="C8" s="203"/>
      <c r="D8" s="203"/>
      <c r="E8" s="203"/>
      <c r="F8" s="203"/>
      <c r="G8" s="203"/>
      <c r="H8" s="204"/>
    </row>
    <row r="9" spans="1:8" ht="12.75">
      <c r="A9" s="192"/>
      <c r="B9" s="192" t="s">
        <v>118</v>
      </c>
      <c r="C9" s="192" t="s">
        <v>122</v>
      </c>
      <c r="D9" s="192" t="s">
        <v>119</v>
      </c>
      <c r="E9" s="192" t="s">
        <v>151</v>
      </c>
      <c r="F9" s="192" t="s">
        <v>123</v>
      </c>
      <c r="G9" s="192" t="s">
        <v>226</v>
      </c>
      <c r="H9" s="192" t="s">
        <v>226</v>
      </c>
    </row>
    <row r="10" spans="1:8" ht="12.75">
      <c r="A10" s="190">
        <v>1</v>
      </c>
      <c r="B10" s="190" t="s">
        <v>131</v>
      </c>
      <c r="C10" s="193">
        <v>16689</v>
      </c>
      <c r="D10" s="193">
        <v>7161</v>
      </c>
      <c r="E10" s="193">
        <v>0</v>
      </c>
      <c r="F10" s="193">
        <v>2460</v>
      </c>
      <c r="G10" s="194">
        <f aca="true" t="shared" si="0" ref="G10:G61">SUM(C10:F10)</f>
        <v>26310</v>
      </c>
      <c r="H10" s="194">
        <f>G10</f>
        <v>26310</v>
      </c>
    </row>
    <row r="11" spans="1:8" ht="12.75">
      <c r="A11" s="190">
        <v>2</v>
      </c>
      <c r="B11" s="190" t="s">
        <v>138</v>
      </c>
      <c r="C11" s="193">
        <v>48801</v>
      </c>
      <c r="D11" s="193">
        <v>7109</v>
      </c>
      <c r="E11" s="193">
        <v>0</v>
      </c>
      <c r="F11" s="193">
        <v>0</v>
      </c>
      <c r="G11" s="194">
        <f t="shared" si="0"/>
        <v>55910</v>
      </c>
      <c r="H11" s="194">
        <f aca="true" t="shared" si="1" ref="H11:H61">G11+H10</f>
        <v>82220</v>
      </c>
    </row>
    <row r="12" spans="1:8" ht="12.75">
      <c r="A12" s="190">
        <v>3</v>
      </c>
      <c r="B12" s="190" t="s">
        <v>139</v>
      </c>
      <c r="C12" s="193">
        <v>28425</v>
      </c>
      <c r="D12" s="193">
        <v>0</v>
      </c>
      <c r="E12" s="193">
        <v>0</v>
      </c>
      <c r="F12" s="193">
        <v>0</v>
      </c>
      <c r="G12" s="194">
        <f t="shared" si="0"/>
        <v>28425</v>
      </c>
      <c r="H12" s="194">
        <f t="shared" si="1"/>
        <v>110645</v>
      </c>
    </row>
    <row r="13" spans="1:8" ht="12.75">
      <c r="A13" s="190">
        <v>4</v>
      </c>
      <c r="B13" s="190" t="s">
        <v>140</v>
      </c>
      <c r="C13" s="193">
        <v>3802</v>
      </c>
      <c r="D13" s="193">
        <v>32831</v>
      </c>
      <c r="E13" s="193">
        <v>0</v>
      </c>
      <c r="F13" s="193">
        <v>0</v>
      </c>
      <c r="G13" s="194">
        <f t="shared" si="0"/>
        <v>36633</v>
      </c>
      <c r="H13" s="194">
        <f t="shared" si="1"/>
        <v>147278</v>
      </c>
    </row>
    <row r="14" spans="1:8" ht="12.75">
      <c r="A14" s="190">
        <v>5</v>
      </c>
      <c r="B14" s="190" t="s">
        <v>141</v>
      </c>
      <c r="C14" s="193">
        <v>8237</v>
      </c>
      <c r="D14" s="193">
        <v>0</v>
      </c>
      <c r="E14" s="193">
        <v>0</v>
      </c>
      <c r="F14" s="193">
        <v>15184</v>
      </c>
      <c r="G14" s="194">
        <f t="shared" si="0"/>
        <v>23421</v>
      </c>
      <c r="H14" s="194">
        <f t="shared" si="1"/>
        <v>170699</v>
      </c>
    </row>
    <row r="15" spans="1:8" ht="12.75">
      <c r="A15" s="190">
        <v>6</v>
      </c>
      <c r="B15" s="190" t="s">
        <v>142</v>
      </c>
      <c r="C15" s="193">
        <v>24500</v>
      </c>
      <c r="D15" s="193">
        <v>25096</v>
      </c>
      <c r="E15" s="193">
        <v>0</v>
      </c>
      <c r="F15" s="193">
        <v>13698</v>
      </c>
      <c r="G15" s="194">
        <f t="shared" si="0"/>
        <v>63294</v>
      </c>
      <c r="H15" s="194">
        <f t="shared" si="1"/>
        <v>233993</v>
      </c>
    </row>
    <row r="16" spans="1:8" ht="12.75">
      <c r="A16" s="190">
        <v>7</v>
      </c>
      <c r="B16" s="190" t="s">
        <v>143</v>
      </c>
      <c r="C16" s="193">
        <v>0</v>
      </c>
      <c r="D16" s="193">
        <v>0</v>
      </c>
      <c r="E16" s="193">
        <v>0</v>
      </c>
      <c r="F16" s="193">
        <v>0</v>
      </c>
      <c r="G16" s="194">
        <f t="shared" si="0"/>
        <v>0</v>
      </c>
      <c r="H16" s="194">
        <f t="shared" si="1"/>
        <v>233993</v>
      </c>
    </row>
    <row r="17" spans="1:8" ht="12.75">
      <c r="A17" s="190">
        <v>8</v>
      </c>
      <c r="B17" s="190" t="s">
        <v>144</v>
      </c>
      <c r="C17" s="193">
        <v>23166</v>
      </c>
      <c r="D17" s="193">
        <v>0</v>
      </c>
      <c r="E17" s="193">
        <v>0</v>
      </c>
      <c r="F17" s="193">
        <v>0</v>
      </c>
      <c r="G17" s="194">
        <f t="shared" si="0"/>
        <v>23166</v>
      </c>
      <c r="H17" s="194">
        <f t="shared" si="1"/>
        <v>257159</v>
      </c>
    </row>
    <row r="18" spans="1:8" ht="12.75">
      <c r="A18" s="190">
        <v>9</v>
      </c>
      <c r="B18" s="190" t="s">
        <v>145</v>
      </c>
      <c r="C18" s="193">
        <v>0</v>
      </c>
      <c r="D18" s="193">
        <v>8153</v>
      </c>
      <c r="E18" s="193">
        <v>0</v>
      </c>
      <c r="F18" s="193">
        <v>6490</v>
      </c>
      <c r="G18" s="194">
        <f t="shared" si="0"/>
        <v>14643</v>
      </c>
      <c r="H18" s="194">
        <f t="shared" si="1"/>
        <v>271802</v>
      </c>
    </row>
    <row r="19" spans="1:8" ht="12.75">
      <c r="A19" s="190">
        <v>10</v>
      </c>
      <c r="B19" s="190" t="s">
        <v>146</v>
      </c>
      <c r="C19" s="193">
        <v>0</v>
      </c>
      <c r="D19" s="193">
        <v>3599</v>
      </c>
      <c r="E19" s="193">
        <v>0</v>
      </c>
      <c r="F19" s="193">
        <v>0</v>
      </c>
      <c r="G19" s="194">
        <f t="shared" si="0"/>
        <v>3599</v>
      </c>
      <c r="H19" s="194">
        <f t="shared" si="1"/>
        <v>275401</v>
      </c>
    </row>
    <row r="20" spans="1:8" ht="12.75">
      <c r="A20" s="190">
        <v>11</v>
      </c>
      <c r="B20" s="190" t="s">
        <v>147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275401</v>
      </c>
    </row>
    <row r="21" spans="1:8" ht="12.75">
      <c r="A21" s="190">
        <v>12</v>
      </c>
      <c r="B21" s="190" t="s">
        <v>149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275401</v>
      </c>
    </row>
    <row r="22" spans="1:8" ht="12.75">
      <c r="A22" s="190">
        <v>13</v>
      </c>
      <c r="B22" s="190" t="s">
        <v>152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275401</v>
      </c>
    </row>
    <row r="23" spans="1:8" ht="12.75">
      <c r="A23" s="190">
        <v>14</v>
      </c>
      <c r="B23" s="190" t="s">
        <v>156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275401</v>
      </c>
    </row>
    <row r="24" spans="1:8" ht="12.75">
      <c r="A24" s="190">
        <v>15</v>
      </c>
      <c r="B24" s="190" t="s">
        <v>157</v>
      </c>
      <c r="C24" s="193">
        <v>22821</v>
      </c>
      <c r="D24" s="193">
        <v>16985</v>
      </c>
      <c r="E24" s="193">
        <v>0</v>
      </c>
      <c r="F24" s="193">
        <v>0</v>
      </c>
      <c r="G24" s="194">
        <f t="shared" si="0"/>
        <v>39806</v>
      </c>
      <c r="H24" s="194">
        <f t="shared" si="1"/>
        <v>315207</v>
      </c>
    </row>
    <row r="25" spans="1:8" ht="12.75">
      <c r="A25" s="190">
        <v>16</v>
      </c>
      <c r="B25" s="190" t="s">
        <v>163</v>
      </c>
      <c r="C25" s="193">
        <v>18060</v>
      </c>
      <c r="D25" s="193">
        <v>14850</v>
      </c>
      <c r="E25" s="193">
        <v>0</v>
      </c>
      <c r="F25" s="193">
        <v>14821</v>
      </c>
      <c r="G25" s="194">
        <f t="shared" si="0"/>
        <v>47731</v>
      </c>
      <c r="H25" s="194">
        <f t="shared" si="1"/>
        <v>362938</v>
      </c>
    </row>
    <row r="26" spans="1:8" ht="12.75">
      <c r="A26" s="190">
        <v>17</v>
      </c>
      <c r="B26" s="190" t="s">
        <v>164</v>
      </c>
      <c r="C26" s="193">
        <v>60484</v>
      </c>
      <c r="D26" s="193">
        <v>34868</v>
      </c>
      <c r="E26" s="193">
        <v>0</v>
      </c>
      <c r="F26" s="193">
        <v>0</v>
      </c>
      <c r="G26" s="194">
        <f t="shared" si="0"/>
        <v>95352</v>
      </c>
      <c r="H26" s="194">
        <f t="shared" si="1"/>
        <v>458290</v>
      </c>
    </row>
    <row r="27" spans="1:8" ht="12.75">
      <c r="A27" s="190">
        <v>18</v>
      </c>
      <c r="B27" s="190" t="s">
        <v>165</v>
      </c>
      <c r="C27" s="193">
        <v>18892</v>
      </c>
      <c r="D27" s="193">
        <v>22736</v>
      </c>
      <c r="E27" s="193">
        <v>0</v>
      </c>
      <c r="F27" s="193">
        <v>15057</v>
      </c>
      <c r="G27" s="194">
        <f t="shared" si="0"/>
        <v>56685</v>
      </c>
      <c r="H27" s="194">
        <f t="shared" si="1"/>
        <v>514975</v>
      </c>
    </row>
    <row r="28" spans="1:8" ht="12.75">
      <c r="A28" s="190">
        <v>19</v>
      </c>
      <c r="B28" s="190" t="s">
        <v>176</v>
      </c>
      <c r="C28" s="193">
        <v>40656</v>
      </c>
      <c r="D28" s="193">
        <v>0</v>
      </c>
      <c r="E28" s="193">
        <v>0</v>
      </c>
      <c r="F28" s="193">
        <v>27402</v>
      </c>
      <c r="G28" s="194">
        <f t="shared" si="0"/>
        <v>68058</v>
      </c>
      <c r="H28" s="194">
        <f t="shared" si="1"/>
        <v>583033</v>
      </c>
    </row>
    <row r="29" spans="1:8" ht="12.75">
      <c r="A29" s="190">
        <v>20</v>
      </c>
      <c r="B29" s="190" t="s">
        <v>177</v>
      </c>
      <c r="C29" s="193">
        <v>13362</v>
      </c>
      <c r="D29" s="193">
        <v>46141</v>
      </c>
      <c r="E29" s="193">
        <v>0</v>
      </c>
      <c r="F29" s="193">
        <v>0</v>
      </c>
      <c r="G29" s="194">
        <f t="shared" si="0"/>
        <v>59503</v>
      </c>
      <c r="H29" s="194">
        <f t="shared" si="1"/>
        <v>642536</v>
      </c>
    </row>
    <row r="30" spans="1:8" ht="12.75">
      <c r="A30" s="190">
        <v>21</v>
      </c>
      <c r="B30" s="190" t="s">
        <v>178</v>
      </c>
      <c r="C30" s="193">
        <v>0</v>
      </c>
      <c r="D30" s="193">
        <v>60114</v>
      </c>
      <c r="E30" s="193">
        <v>0</v>
      </c>
      <c r="F30" s="193">
        <v>0</v>
      </c>
      <c r="G30" s="194">
        <f t="shared" si="0"/>
        <v>60114</v>
      </c>
      <c r="H30" s="194">
        <f t="shared" si="1"/>
        <v>702650</v>
      </c>
    </row>
    <row r="31" spans="1:8" ht="12.75">
      <c r="A31" s="190">
        <v>22</v>
      </c>
      <c r="B31" s="190" t="s">
        <v>179</v>
      </c>
      <c r="C31" s="193">
        <v>2706</v>
      </c>
      <c r="D31" s="193">
        <v>11845</v>
      </c>
      <c r="E31" s="193">
        <v>11031</v>
      </c>
      <c r="F31" s="193">
        <v>0</v>
      </c>
      <c r="G31" s="194">
        <f t="shared" si="0"/>
        <v>25582</v>
      </c>
      <c r="H31" s="194">
        <f t="shared" si="1"/>
        <v>728232</v>
      </c>
    </row>
    <row r="32" spans="1:8" ht="12.75">
      <c r="A32" s="190">
        <v>23</v>
      </c>
      <c r="B32" s="190" t="s">
        <v>180</v>
      </c>
      <c r="C32" s="193">
        <v>20852</v>
      </c>
      <c r="D32" s="193">
        <v>0</v>
      </c>
      <c r="E32" s="193">
        <v>0</v>
      </c>
      <c r="F32" s="193">
        <v>2260</v>
      </c>
      <c r="G32" s="194">
        <f t="shared" si="0"/>
        <v>23112</v>
      </c>
      <c r="H32" s="194">
        <f t="shared" si="1"/>
        <v>751344</v>
      </c>
    </row>
    <row r="33" spans="1:8" ht="12.75">
      <c r="A33" s="190">
        <v>24</v>
      </c>
      <c r="B33" s="190" t="s">
        <v>181</v>
      </c>
      <c r="C33" s="193">
        <v>30974</v>
      </c>
      <c r="D33" s="193">
        <v>10657</v>
      </c>
      <c r="E33" s="193">
        <v>0</v>
      </c>
      <c r="F33" s="193">
        <v>1505</v>
      </c>
      <c r="G33" s="194">
        <f t="shared" si="0"/>
        <v>43136</v>
      </c>
      <c r="H33" s="194">
        <f t="shared" si="1"/>
        <v>794480</v>
      </c>
    </row>
    <row r="34" spans="1:8" ht="12.75">
      <c r="A34" s="190">
        <v>25</v>
      </c>
      <c r="B34" s="190" t="s">
        <v>182</v>
      </c>
      <c r="C34" s="193">
        <v>13435</v>
      </c>
      <c r="D34" s="193">
        <v>43304</v>
      </c>
      <c r="E34" s="193">
        <v>0</v>
      </c>
      <c r="F34" s="193">
        <v>0</v>
      </c>
      <c r="G34" s="194">
        <f t="shared" si="0"/>
        <v>56739</v>
      </c>
      <c r="H34" s="194">
        <f t="shared" si="1"/>
        <v>851219</v>
      </c>
    </row>
    <row r="35" spans="1:8" ht="12.75">
      <c r="A35" s="190">
        <v>26</v>
      </c>
      <c r="B35" s="190" t="s">
        <v>184</v>
      </c>
      <c r="C35" s="193">
        <v>18381</v>
      </c>
      <c r="D35" s="193">
        <v>27913</v>
      </c>
      <c r="E35" s="193">
        <v>0</v>
      </c>
      <c r="F35" s="193">
        <v>29300</v>
      </c>
      <c r="G35" s="194">
        <f t="shared" si="0"/>
        <v>75594</v>
      </c>
      <c r="H35" s="194">
        <f t="shared" si="1"/>
        <v>926813</v>
      </c>
    </row>
    <row r="36" spans="1:8" ht="12.75">
      <c r="A36" s="190">
        <v>27</v>
      </c>
      <c r="B36" s="190" t="s">
        <v>185</v>
      </c>
      <c r="C36" s="193">
        <v>0</v>
      </c>
      <c r="D36" s="193">
        <v>12570</v>
      </c>
      <c r="E36" s="193">
        <v>0</v>
      </c>
      <c r="F36" s="193">
        <v>0</v>
      </c>
      <c r="G36" s="194">
        <f t="shared" si="0"/>
        <v>12570</v>
      </c>
      <c r="H36" s="194">
        <f t="shared" si="1"/>
        <v>939383</v>
      </c>
    </row>
    <row r="37" spans="1:8" ht="12.75">
      <c r="A37" s="190">
        <v>28</v>
      </c>
      <c r="B37" s="190" t="s">
        <v>186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939383</v>
      </c>
    </row>
    <row r="38" spans="1:8" ht="12.75">
      <c r="A38" s="190">
        <v>29</v>
      </c>
      <c r="B38" s="190" t="s">
        <v>187</v>
      </c>
      <c r="C38" s="193">
        <v>15222</v>
      </c>
      <c r="D38" s="193">
        <v>11597</v>
      </c>
      <c r="E38" s="193">
        <v>0</v>
      </c>
      <c r="F38" s="193">
        <v>0</v>
      </c>
      <c r="G38" s="194">
        <f t="shared" si="0"/>
        <v>26819</v>
      </c>
      <c r="H38" s="194">
        <f t="shared" si="1"/>
        <v>966202</v>
      </c>
    </row>
    <row r="39" spans="1:8" ht="12.75">
      <c r="A39" s="190">
        <v>30</v>
      </c>
      <c r="B39" s="190" t="s">
        <v>189</v>
      </c>
      <c r="C39" s="193">
        <v>22149</v>
      </c>
      <c r="D39" s="193">
        <v>0</v>
      </c>
      <c r="E39" s="193">
        <v>0</v>
      </c>
      <c r="F39" s="193">
        <v>0</v>
      </c>
      <c r="G39" s="194">
        <f t="shared" si="0"/>
        <v>22149</v>
      </c>
      <c r="H39" s="194">
        <f t="shared" si="1"/>
        <v>988351</v>
      </c>
    </row>
    <row r="40" spans="1:8" ht="12.75">
      <c r="A40" s="190">
        <v>31</v>
      </c>
      <c r="B40" s="190" t="s">
        <v>191</v>
      </c>
      <c r="C40" s="193">
        <v>32938</v>
      </c>
      <c r="D40" s="193">
        <v>18638</v>
      </c>
      <c r="E40" s="193">
        <v>0</v>
      </c>
      <c r="F40" s="193">
        <v>0</v>
      </c>
      <c r="G40" s="194">
        <f t="shared" si="0"/>
        <v>51576</v>
      </c>
      <c r="H40" s="194">
        <f t="shared" si="1"/>
        <v>1039927</v>
      </c>
    </row>
    <row r="41" spans="1:8" ht="12.75">
      <c r="A41" s="190">
        <v>32</v>
      </c>
      <c r="B41" s="190" t="s">
        <v>192</v>
      </c>
      <c r="C41" s="193">
        <v>0</v>
      </c>
      <c r="D41" s="193">
        <v>0</v>
      </c>
      <c r="E41" s="193">
        <v>0</v>
      </c>
      <c r="F41" s="193">
        <v>0</v>
      </c>
      <c r="G41" s="194">
        <f t="shared" si="0"/>
        <v>0</v>
      </c>
      <c r="H41" s="194">
        <f t="shared" si="1"/>
        <v>1039927</v>
      </c>
    </row>
    <row r="42" spans="1:8" ht="12.75">
      <c r="A42" s="190">
        <v>33</v>
      </c>
      <c r="B42" s="190" t="s">
        <v>193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1039927</v>
      </c>
    </row>
    <row r="43" spans="1:8" ht="12.75">
      <c r="A43" s="190">
        <v>34</v>
      </c>
      <c r="B43" s="190" t="s">
        <v>194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1039927</v>
      </c>
    </row>
    <row r="44" spans="1:8" ht="12.75">
      <c r="A44" s="190">
        <v>35</v>
      </c>
      <c r="B44" s="190" t="s">
        <v>195</v>
      </c>
      <c r="C44" s="193">
        <v>42072</v>
      </c>
      <c r="D44" s="193">
        <v>32352</v>
      </c>
      <c r="E44" s="193">
        <v>0</v>
      </c>
      <c r="F44" s="193">
        <v>8552</v>
      </c>
      <c r="G44" s="194">
        <f t="shared" si="0"/>
        <v>82976</v>
      </c>
      <c r="H44" s="194">
        <f t="shared" si="1"/>
        <v>1122903</v>
      </c>
    </row>
    <row r="45" spans="1:8" ht="12.75">
      <c r="A45" s="190">
        <v>36</v>
      </c>
      <c r="B45" s="190" t="s">
        <v>197</v>
      </c>
      <c r="C45" s="193">
        <v>0</v>
      </c>
      <c r="D45" s="193">
        <v>0</v>
      </c>
      <c r="E45" s="193">
        <v>0</v>
      </c>
      <c r="F45" s="193">
        <v>28901</v>
      </c>
      <c r="G45" s="194">
        <f t="shared" si="0"/>
        <v>28901</v>
      </c>
      <c r="H45" s="194">
        <f t="shared" si="1"/>
        <v>1151804</v>
      </c>
    </row>
    <row r="46" spans="1:8" ht="12.75">
      <c r="A46" s="190">
        <v>37</v>
      </c>
      <c r="B46" s="190" t="s">
        <v>198</v>
      </c>
      <c r="C46" s="193">
        <v>0</v>
      </c>
      <c r="D46" s="193">
        <v>0</v>
      </c>
      <c r="E46" s="193">
        <v>0</v>
      </c>
      <c r="F46" s="193">
        <v>2759</v>
      </c>
      <c r="G46" s="194">
        <f t="shared" si="0"/>
        <v>2759</v>
      </c>
      <c r="H46" s="194">
        <f t="shared" si="1"/>
        <v>1154563</v>
      </c>
    </row>
    <row r="47" spans="1:8" ht="12.75">
      <c r="A47" s="190">
        <v>38</v>
      </c>
      <c r="B47" s="190" t="s">
        <v>199</v>
      </c>
      <c r="C47" s="193">
        <v>21858</v>
      </c>
      <c r="D47" s="193">
        <v>0</v>
      </c>
      <c r="E47" s="193">
        <v>0</v>
      </c>
      <c r="F47" s="193">
        <v>0</v>
      </c>
      <c r="G47" s="194">
        <f t="shared" si="0"/>
        <v>21858</v>
      </c>
      <c r="H47" s="194">
        <f t="shared" si="1"/>
        <v>1176421</v>
      </c>
    </row>
    <row r="48" spans="1:8" ht="12.75">
      <c r="A48" s="190">
        <v>39</v>
      </c>
      <c r="B48" s="190" t="s">
        <v>201</v>
      </c>
      <c r="C48" s="193">
        <v>11131</v>
      </c>
      <c r="D48" s="193">
        <v>19319</v>
      </c>
      <c r="E48" s="193">
        <v>0</v>
      </c>
      <c r="F48" s="193">
        <v>0</v>
      </c>
      <c r="G48" s="194">
        <f t="shared" si="0"/>
        <v>30450</v>
      </c>
      <c r="H48" s="194">
        <f t="shared" si="1"/>
        <v>1206871</v>
      </c>
    </row>
    <row r="49" spans="1:8" ht="12.75">
      <c r="A49" s="190">
        <v>40</v>
      </c>
      <c r="B49" s="190" t="s">
        <v>204</v>
      </c>
      <c r="C49" s="193">
        <v>33351</v>
      </c>
      <c r="D49" s="193">
        <v>35395</v>
      </c>
      <c r="E49" s="193">
        <v>0</v>
      </c>
      <c r="F49" s="193">
        <v>0</v>
      </c>
      <c r="G49" s="194">
        <f t="shared" si="0"/>
        <v>68746</v>
      </c>
      <c r="H49" s="194">
        <f t="shared" si="1"/>
        <v>1275617</v>
      </c>
    </row>
    <row r="50" spans="1:8" ht="12.75">
      <c r="A50" s="190">
        <v>41</v>
      </c>
      <c r="B50" s="190" t="s">
        <v>207</v>
      </c>
      <c r="C50" s="193">
        <v>0</v>
      </c>
      <c r="D50" s="193">
        <v>11335</v>
      </c>
      <c r="E50" s="193">
        <v>0</v>
      </c>
      <c r="F50" s="193">
        <v>0</v>
      </c>
      <c r="G50" s="194">
        <f t="shared" si="0"/>
        <v>11335</v>
      </c>
      <c r="H50" s="194">
        <f t="shared" si="1"/>
        <v>1286952</v>
      </c>
    </row>
    <row r="51" spans="1:8" ht="12.75">
      <c r="A51" s="190">
        <v>42</v>
      </c>
      <c r="B51" s="190" t="s">
        <v>208</v>
      </c>
      <c r="C51" s="193">
        <v>10904</v>
      </c>
      <c r="D51" s="193">
        <v>1289</v>
      </c>
      <c r="E51" s="193">
        <v>0</v>
      </c>
      <c r="F51" s="193">
        <v>0</v>
      </c>
      <c r="G51" s="194">
        <f t="shared" si="0"/>
        <v>12193</v>
      </c>
      <c r="H51" s="194">
        <f t="shared" si="1"/>
        <v>1299145</v>
      </c>
    </row>
    <row r="52" spans="1:8" ht="12.75">
      <c r="A52" s="190">
        <v>43</v>
      </c>
      <c r="B52" s="190" t="s">
        <v>210</v>
      </c>
      <c r="C52" s="193">
        <v>4004</v>
      </c>
      <c r="D52" s="193">
        <v>0</v>
      </c>
      <c r="E52" s="193">
        <v>0</v>
      </c>
      <c r="F52" s="193">
        <v>13619</v>
      </c>
      <c r="G52" s="194">
        <f t="shared" si="0"/>
        <v>17623</v>
      </c>
      <c r="H52" s="194">
        <f t="shared" si="1"/>
        <v>1316768</v>
      </c>
    </row>
    <row r="53" spans="1:8" ht="12.75">
      <c r="A53" s="190">
        <v>44</v>
      </c>
      <c r="B53" s="190" t="s">
        <v>212</v>
      </c>
      <c r="C53" s="193">
        <v>18143</v>
      </c>
      <c r="D53" s="193">
        <v>35337</v>
      </c>
      <c r="E53" s="193">
        <v>0</v>
      </c>
      <c r="F53" s="193">
        <v>18398</v>
      </c>
      <c r="G53" s="194">
        <f t="shared" si="0"/>
        <v>71878</v>
      </c>
      <c r="H53" s="194">
        <f t="shared" si="1"/>
        <v>1388646</v>
      </c>
    </row>
    <row r="54" spans="1:8" ht="12.75">
      <c r="A54" s="190">
        <v>45</v>
      </c>
      <c r="B54" s="190" t="s">
        <v>213</v>
      </c>
      <c r="C54" s="193">
        <v>67828</v>
      </c>
      <c r="D54" s="193">
        <v>49449</v>
      </c>
      <c r="E54" s="193">
        <v>0</v>
      </c>
      <c r="F54" s="193">
        <v>0</v>
      </c>
      <c r="G54" s="194">
        <f t="shared" si="0"/>
        <v>117277</v>
      </c>
      <c r="H54" s="194">
        <f t="shared" si="1"/>
        <v>1505923</v>
      </c>
    </row>
    <row r="55" spans="1:8" ht="12.75">
      <c r="A55" s="190">
        <v>46</v>
      </c>
      <c r="B55" s="190" t="s">
        <v>214</v>
      </c>
      <c r="C55" s="193">
        <v>30877</v>
      </c>
      <c r="D55" s="193">
        <v>37467</v>
      </c>
      <c r="E55" s="193">
        <v>0</v>
      </c>
      <c r="F55" s="193">
        <v>0</v>
      </c>
      <c r="G55" s="194">
        <f t="shared" si="0"/>
        <v>68344</v>
      </c>
      <c r="H55" s="194">
        <f t="shared" si="1"/>
        <v>1574267</v>
      </c>
    </row>
    <row r="56" spans="1:8" ht="12.75">
      <c r="A56" s="190">
        <v>47</v>
      </c>
      <c r="B56" s="190" t="s">
        <v>215</v>
      </c>
      <c r="C56" s="193">
        <v>1430</v>
      </c>
      <c r="D56" s="193">
        <v>0</v>
      </c>
      <c r="E56" s="193">
        <v>0</v>
      </c>
      <c r="F56" s="193">
        <v>0</v>
      </c>
      <c r="G56" s="194">
        <f t="shared" si="0"/>
        <v>1430</v>
      </c>
      <c r="H56" s="194">
        <f t="shared" si="1"/>
        <v>1575697</v>
      </c>
    </row>
    <row r="57" spans="1:8" ht="12.75">
      <c r="A57" s="190">
        <v>48</v>
      </c>
      <c r="B57" s="190" t="s">
        <v>217</v>
      </c>
      <c r="C57" s="193">
        <v>0</v>
      </c>
      <c r="D57" s="193">
        <v>0</v>
      </c>
      <c r="E57" s="193">
        <v>0</v>
      </c>
      <c r="F57" s="193">
        <v>28507</v>
      </c>
      <c r="G57" s="194">
        <f t="shared" si="0"/>
        <v>28507</v>
      </c>
      <c r="H57" s="194">
        <f t="shared" si="1"/>
        <v>1604204</v>
      </c>
    </row>
    <row r="58" spans="1:8" ht="12.75">
      <c r="A58" s="190">
        <v>49</v>
      </c>
      <c r="B58" s="190" t="s">
        <v>219</v>
      </c>
      <c r="C58" s="193">
        <v>0</v>
      </c>
      <c r="D58" s="193">
        <v>0</v>
      </c>
      <c r="E58" s="193">
        <v>0</v>
      </c>
      <c r="F58" s="193">
        <v>0</v>
      </c>
      <c r="G58" s="194">
        <f t="shared" si="0"/>
        <v>0</v>
      </c>
      <c r="H58" s="194">
        <f t="shared" si="1"/>
        <v>1604204</v>
      </c>
    </row>
    <row r="59" spans="1:8" ht="12.75">
      <c r="A59" s="190">
        <v>50</v>
      </c>
      <c r="B59" s="190" t="s">
        <v>220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1604204</v>
      </c>
    </row>
    <row r="60" spans="1:8" ht="12.75">
      <c r="A60" s="190">
        <v>51</v>
      </c>
      <c r="B60" s="190" t="s">
        <v>223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1604204</v>
      </c>
    </row>
    <row r="61" spans="1:8" ht="12.75">
      <c r="A61" s="190">
        <v>52</v>
      </c>
      <c r="B61" s="190" t="s">
        <v>224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1604204</v>
      </c>
    </row>
    <row r="62" spans="1:8" ht="12.75">
      <c r="A62" s="190" t="s">
        <v>120</v>
      </c>
      <c r="B62" s="190" t="s">
        <v>121</v>
      </c>
      <c r="C62" s="194">
        <f>SUM(C10:C61)</f>
        <v>726150</v>
      </c>
      <c r="D62" s="194">
        <f>SUM(D10:D61)</f>
        <v>638110</v>
      </c>
      <c r="E62" s="194">
        <f>SUM(E10:E61)</f>
        <v>11031</v>
      </c>
      <c r="F62" s="194">
        <f>SUM(F10:F61)</f>
        <v>228913</v>
      </c>
      <c r="G62" s="194">
        <f>SUM(G10:G61)</f>
        <v>1604204</v>
      </c>
      <c r="H62" s="194"/>
    </row>
    <row r="63" spans="1:8" ht="12.75">
      <c r="A63" s="191"/>
      <c r="B63" s="191"/>
      <c r="C63" s="191"/>
      <c r="D63" s="191"/>
      <c r="E63" s="191"/>
      <c r="F63" s="191"/>
      <c r="G63" s="191"/>
      <c r="H63" s="191"/>
    </row>
    <row r="64" spans="1:8" ht="14.25">
      <c r="A64" s="188" t="s">
        <v>227</v>
      </c>
      <c r="B64" s="188"/>
      <c r="D64" s="191"/>
      <c r="E64" s="191"/>
      <c r="F64" s="191"/>
      <c r="G64" s="191"/>
      <c r="H64" s="191"/>
    </row>
    <row r="65" spans="1:8" ht="14.25">
      <c r="A65" s="188" t="s">
        <v>228</v>
      </c>
      <c r="B65" s="188"/>
      <c r="D65" s="191"/>
      <c r="E65" s="191"/>
      <c r="F65" s="191"/>
      <c r="G65" s="191"/>
      <c r="H65" s="19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zoomScale="96" zoomScaleNormal="96" zoomScalePageLayoutView="0" workbookViewId="0" topLeftCell="A1">
      <pane xSplit="2" ySplit="7" topLeftCell="C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98" t="s">
        <v>127</v>
      </c>
      <c r="D1" s="65"/>
      <c r="E1" s="65"/>
    </row>
    <row r="2" spans="3:15" s="3" customFormat="1" ht="15">
      <c r="C2" s="98" t="s">
        <v>128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62" t="s">
        <v>33</v>
      </c>
      <c r="D5" s="163" t="s">
        <v>34</v>
      </c>
      <c r="E5" s="108" t="s">
        <v>33</v>
      </c>
      <c r="F5" s="95" t="s">
        <v>34</v>
      </c>
      <c r="G5" s="164" t="s">
        <v>33</v>
      </c>
      <c r="H5" s="165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66"/>
      <c r="D6" s="167"/>
      <c r="E6" s="111" t="s">
        <v>38</v>
      </c>
      <c r="F6" s="154" t="s">
        <v>39</v>
      </c>
      <c r="G6" s="168"/>
      <c r="H6" s="169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170"/>
      <c r="C7" s="171" t="s">
        <v>41</v>
      </c>
      <c r="D7" s="172" t="s">
        <v>41</v>
      </c>
      <c r="E7" s="108" t="s">
        <v>41</v>
      </c>
      <c r="F7" s="95" t="s">
        <v>41</v>
      </c>
      <c r="G7" s="173" t="s">
        <v>41</v>
      </c>
      <c r="H7" s="174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8">
        <v>42496</v>
      </c>
      <c r="C8" s="149">
        <v>0</v>
      </c>
      <c r="D8" s="149">
        <v>26310</v>
      </c>
      <c r="E8" s="76">
        <f>+C8</f>
        <v>0</v>
      </c>
      <c r="F8" s="76">
        <f>+D8</f>
        <v>26310</v>
      </c>
      <c r="G8" s="122">
        <v>7184</v>
      </c>
      <c r="H8" s="122">
        <v>3268</v>
      </c>
      <c r="I8" s="24">
        <f>+G8</f>
        <v>7184</v>
      </c>
      <c r="J8" s="24">
        <f>+H8</f>
        <v>3268</v>
      </c>
      <c r="K8" s="24">
        <f aca="true" t="shared" si="0" ref="K8:K59">C8+D8</f>
        <v>26310</v>
      </c>
      <c r="L8" s="24">
        <f aca="true" t="shared" si="1" ref="L8:L59">G8+H8</f>
        <v>10452</v>
      </c>
      <c r="M8" s="24">
        <f aca="true" t="shared" si="2" ref="M8:M59">E8+F8</f>
        <v>26310</v>
      </c>
      <c r="N8" s="24">
        <f aca="true" t="shared" si="3" ref="N8:N59">I8+J8</f>
        <v>10452</v>
      </c>
    </row>
    <row r="9" spans="1:14" s="3" customFormat="1" ht="14.25">
      <c r="A9" s="3">
        <f>A8+1</f>
        <v>2</v>
      </c>
      <c r="B9" s="148">
        <v>42503</v>
      </c>
      <c r="C9" s="149">
        <v>0</v>
      </c>
      <c r="D9" s="149">
        <v>55823</v>
      </c>
      <c r="E9" s="77">
        <f>E8+C9</f>
        <v>0</v>
      </c>
      <c r="F9" s="77">
        <f>F8+D9</f>
        <v>82133</v>
      </c>
      <c r="G9" s="122">
        <v>10522</v>
      </c>
      <c r="H9" s="122">
        <v>3721</v>
      </c>
      <c r="I9" s="25">
        <f>I8+G9</f>
        <v>17706</v>
      </c>
      <c r="J9" s="25">
        <f>J8+H9</f>
        <v>6989</v>
      </c>
      <c r="K9" s="25">
        <f t="shared" si="0"/>
        <v>55823</v>
      </c>
      <c r="L9" s="25">
        <f t="shared" si="1"/>
        <v>14243</v>
      </c>
      <c r="M9" s="25">
        <f t="shared" si="2"/>
        <v>82133</v>
      </c>
      <c r="N9" s="25">
        <f t="shared" si="3"/>
        <v>24695</v>
      </c>
    </row>
    <row r="10" spans="1:14" ht="14.25">
      <c r="A10" s="3">
        <f aca="true" t="shared" si="4" ref="A10:A40">A9+1</f>
        <v>3</v>
      </c>
      <c r="B10" s="148">
        <v>42510</v>
      </c>
      <c r="C10" s="149">
        <v>14700</v>
      </c>
      <c r="D10" s="149">
        <v>28425</v>
      </c>
      <c r="E10" s="77">
        <f aca="true" t="shared" si="5" ref="E10:F25">E9+C10</f>
        <v>14700</v>
      </c>
      <c r="F10" s="77">
        <f t="shared" si="5"/>
        <v>110558</v>
      </c>
      <c r="G10" s="122">
        <v>12539</v>
      </c>
      <c r="H10" s="122">
        <v>4660</v>
      </c>
      <c r="I10" s="25">
        <f aca="true" t="shared" si="6" ref="I10:J25">I9+G10</f>
        <v>30245</v>
      </c>
      <c r="J10" s="25">
        <f t="shared" si="6"/>
        <v>11649</v>
      </c>
      <c r="K10" s="25">
        <f t="shared" si="0"/>
        <v>43125</v>
      </c>
      <c r="L10" s="25">
        <f t="shared" si="1"/>
        <v>17199</v>
      </c>
      <c r="M10" s="25">
        <f t="shared" si="2"/>
        <v>125258</v>
      </c>
      <c r="N10" s="25">
        <f t="shared" si="3"/>
        <v>41894</v>
      </c>
    </row>
    <row r="11" spans="1:14" ht="14.25">
      <c r="A11" s="3">
        <f t="shared" si="4"/>
        <v>4</v>
      </c>
      <c r="B11" s="148">
        <v>42517</v>
      </c>
      <c r="C11" s="149">
        <v>0</v>
      </c>
      <c r="D11" s="149">
        <v>36241</v>
      </c>
      <c r="E11" s="77">
        <f t="shared" si="5"/>
        <v>14700</v>
      </c>
      <c r="F11" s="77">
        <f t="shared" si="5"/>
        <v>146799</v>
      </c>
      <c r="G11" s="122">
        <v>12574</v>
      </c>
      <c r="H11" s="122">
        <v>10466</v>
      </c>
      <c r="I11" s="25">
        <f t="shared" si="6"/>
        <v>42819</v>
      </c>
      <c r="J11" s="25">
        <f t="shared" si="6"/>
        <v>22115</v>
      </c>
      <c r="K11" s="25">
        <f t="shared" si="0"/>
        <v>36241</v>
      </c>
      <c r="L11" s="25">
        <f t="shared" si="1"/>
        <v>23040</v>
      </c>
      <c r="M11" s="25">
        <f t="shared" si="2"/>
        <v>161499</v>
      </c>
      <c r="N11" s="25">
        <f t="shared" si="3"/>
        <v>64934</v>
      </c>
    </row>
    <row r="12" spans="1:14" ht="14.25">
      <c r="A12" s="3">
        <f t="shared" si="4"/>
        <v>5</v>
      </c>
      <c r="B12" s="148">
        <v>42524</v>
      </c>
      <c r="C12" s="149">
        <v>0</v>
      </c>
      <c r="D12" s="149">
        <v>23421</v>
      </c>
      <c r="E12" s="77">
        <f t="shared" si="5"/>
        <v>14700</v>
      </c>
      <c r="F12" s="77">
        <f t="shared" si="5"/>
        <v>170220</v>
      </c>
      <c r="G12" s="122">
        <v>12076</v>
      </c>
      <c r="H12" s="122">
        <v>3192</v>
      </c>
      <c r="I12" s="25">
        <f t="shared" si="6"/>
        <v>54895</v>
      </c>
      <c r="J12" s="25">
        <f t="shared" si="6"/>
        <v>25307</v>
      </c>
      <c r="K12" s="25">
        <f t="shared" si="0"/>
        <v>23421</v>
      </c>
      <c r="L12" s="25">
        <f t="shared" si="1"/>
        <v>15268</v>
      </c>
      <c r="M12" s="25">
        <f t="shared" si="2"/>
        <v>184920</v>
      </c>
      <c r="N12" s="25">
        <f t="shared" si="3"/>
        <v>80202</v>
      </c>
    </row>
    <row r="13" spans="1:14" ht="14.25">
      <c r="A13" s="3">
        <f t="shared" si="4"/>
        <v>6</v>
      </c>
      <c r="B13" s="148">
        <v>42531</v>
      </c>
      <c r="C13" s="149">
        <v>0</v>
      </c>
      <c r="D13" s="149">
        <v>63294</v>
      </c>
      <c r="E13" s="77">
        <f t="shared" si="5"/>
        <v>14700</v>
      </c>
      <c r="F13" s="77">
        <f t="shared" si="5"/>
        <v>233514</v>
      </c>
      <c r="G13" s="122">
        <v>9752</v>
      </c>
      <c r="H13" s="122">
        <v>4786</v>
      </c>
      <c r="I13" s="25">
        <f t="shared" si="6"/>
        <v>64647</v>
      </c>
      <c r="J13" s="25">
        <f t="shared" si="6"/>
        <v>30093</v>
      </c>
      <c r="K13" s="25">
        <f t="shared" si="0"/>
        <v>63294</v>
      </c>
      <c r="L13" s="25">
        <f t="shared" si="1"/>
        <v>14538</v>
      </c>
      <c r="M13" s="25">
        <f t="shared" si="2"/>
        <v>248214</v>
      </c>
      <c r="N13" s="25">
        <f t="shared" si="3"/>
        <v>94740</v>
      </c>
    </row>
    <row r="14" spans="1:14" ht="14.25">
      <c r="A14" s="3">
        <f t="shared" si="4"/>
        <v>7</v>
      </c>
      <c r="B14" s="148">
        <v>42538</v>
      </c>
      <c r="C14" s="149">
        <v>0</v>
      </c>
      <c r="D14" s="149">
        <v>0</v>
      </c>
      <c r="E14" s="77">
        <f t="shared" si="5"/>
        <v>14700</v>
      </c>
      <c r="F14" s="77">
        <f t="shared" si="5"/>
        <v>233514</v>
      </c>
      <c r="G14" s="122">
        <v>7516</v>
      </c>
      <c r="H14" s="122">
        <v>4001</v>
      </c>
      <c r="I14" s="25">
        <f t="shared" si="6"/>
        <v>72163</v>
      </c>
      <c r="J14" s="25">
        <f t="shared" si="6"/>
        <v>34094</v>
      </c>
      <c r="K14" s="25">
        <f t="shared" si="0"/>
        <v>0</v>
      </c>
      <c r="L14" s="25">
        <f t="shared" si="1"/>
        <v>11517</v>
      </c>
      <c r="M14" s="25">
        <f t="shared" si="2"/>
        <v>248214</v>
      </c>
      <c r="N14" s="25">
        <f t="shared" si="3"/>
        <v>106257</v>
      </c>
    </row>
    <row r="15" spans="1:14" ht="14.25">
      <c r="A15" s="3">
        <f t="shared" si="4"/>
        <v>8</v>
      </c>
      <c r="B15" s="148">
        <v>42545</v>
      </c>
      <c r="C15" s="149">
        <v>0</v>
      </c>
      <c r="D15" s="149">
        <v>23035</v>
      </c>
      <c r="E15" s="77">
        <f t="shared" si="5"/>
        <v>14700</v>
      </c>
      <c r="F15" s="77">
        <f t="shared" si="5"/>
        <v>256549</v>
      </c>
      <c r="G15" s="122">
        <v>14740</v>
      </c>
      <c r="H15" s="122">
        <v>8418</v>
      </c>
      <c r="I15" s="25">
        <f t="shared" si="6"/>
        <v>86903</v>
      </c>
      <c r="J15" s="25">
        <f t="shared" si="6"/>
        <v>42512</v>
      </c>
      <c r="K15" s="25">
        <f t="shared" si="0"/>
        <v>23035</v>
      </c>
      <c r="L15" s="25">
        <f t="shared" si="1"/>
        <v>23158</v>
      </c>
      <c r="M15" s="25">
        <f t="shared" si="2"/>
        <v>271249</v>
      </c>
      <c r="N15" s="25">
        <f t="shared" si="3"/>
        <v>129415</v>
      </c>
    </row>
    <row r="16" spans="1:14" ht="14.25">
      <c r="A16" s="3">
        <f t="shared" si="4"/>
        <v>9</v>
      </c>
      <c r="B16" s="148">
        <v>42552</v>
      </c>
      <c r="C16" s="149">
        <v>1646</v>
      </c>
      <c r="D16" s="149">
        <v>14643</v>
      </c>
      <c r="E16" s="77">
        <f t="shared" si="5"/>
        <v>16346</v>
      </c>
      <c r="F16" s="77">
        <f t="shared" si="5"/>
        <v>271192</v>
      </c>
      <c r="G16" s="122">
        <v>6817</v>
      </c>
      <c r="H16" s="122">
        <v>6051</v>
      </c>
      <c r="I16" s="25">
        <f t="shared" si="6"/>
        <v>93720</v>
      </c>
      <c r="J16" s="25">
        <f t="shared" si="6"/>
        <v>48563</v>
      </c>
      <c r="K16" s="25">
        <f t="shared" si="0"/>
        <v>16289</v>
      </c>
      <c r="L16" s="25">
        <f t="shared" si="1"/>
        <v>12868</v>
      </c>
      <c r="M16" s="25">
        <f t="shared" si="2"/>
        <v>287538</v>
      </c>
      <c r="N16" s="25">
        <f t="shared" si="3"/>
        <v>142283</v>
      </c>
    </row>
    <row r="17" spans="1:14" ht="14.25">
      <c r="A17" s="3">
        <f t="shared" si="4"/>
        <v>10</v>
      </c>
      <c r="B17" s="148">
        <v>42559</v>
      </c>
      <c r="C17" s="149">
        <v>45880</v>
      </c>
      <c r="D17" s="149">
        <v>3599</v>
      </c>
      <c r="E17" s="77">
        <f t="shared" si="5"/>
        <v>62226</v>
      </c>
      <c r="F17" s="77">
        <f t="shared" si="5"/>
        <v>274791</v>
      </c>
      <c r="G17" s="122">
        <v>5894</v>
      </c>
      <c r="H17" s="122">
        <v>4461</v>
      </c>
      <c r="I17" s="25">
        <f t="shared" si="6"/>
        <v>99614</v>
      </c>
      <c r="J17" s="25">
        <f t="shared" si="6"/>
        <v>53024</v>
      </c>
      <c r="K17" s="25">
        <f>C17+D17</f>
        <v>49479</v>
      </c>
      <c r="L17" s="25">
        <f t="shared" si="1"/>
        <v>10355</v>
      </c>
      <c r="M17" s="25">
        <f t="shared" si="2"/>
        <v>337017</v>
      </c>
      <c r="N17" s="25">
        <f t="shared" si="3"/>
        <v>152638</v>
      </c>
    </row>
    <row r="18" spans="1:14" ht="14.25">
      <c r="A18" s="3">
        <f t="shared" si="4"/>
        <v>11</v>
      </c>
      <c r="B18" s="148">
        <v>42566</v>
      </c>
      <c r="C18" s="149">
        <v>11626</v>
      </c>
      <c r="D18" s="149">
        <v>0</v>
      </c>
      <c r="E18" s="77">
        <f t="shared" si="5"/>
        <v>73852</v>
      </c>
      <c r="F18" s="77">
        <f t="shared" si="5"/>
        <v>274791</v>
      </c>
      <c r="G18" s="122">
        <v>5957</v>
      </c>
      <c r="H18" s="122">
        <v>5319</v>
      </c>
      <c r="I18" s="25">
        <f t="shared" si="6"/>
        <v>105571</v>
      </c>
      <c r="J18" s="25">
        <f t="shared" si="6"/>
        <v>58343</v>
      </c>
      <c r="K18" s="25">
        <f t="shared" si="0"/>
        <v>11626</v>
      </c>
      <c r="L18" s="25">
        <f t="shared" si="1"/>
        <v>11276</v>
      </c>
      <c r="M18" s="25">
        <f t="shared" si="2"/>
        <v>348643</v>
      </c>
      <c r="N18" s="25">
        <f t="shared" si="3"/>
        <v>163914</v>
      </c>
    </row>
    <row r="19" spans="1:14" ht="14.25">
      <c r="A19" s="3">
        <f t="shared" si="4"/>
        <v>12</v>
      </c>
      <c r="B19" s="148">
        <v>42573</v>
      </c>
      <c r="C19" s="149">
        <v>32096</v>
      </c>
      <c r="D19" s="149">
        <v>0</v>
      </c>
      <c r="E19" s="77">
        <f t="shared" si="5"/>
        <v>105948</v>
      </c>
      <c r="F19" s="77">
        <f t="shared" si="5"/>
        <v>274791</v>
      </c>
      <c r="G19" s="122">
        <v>3493</v>
      </c>
      <c r="H19" s="122">
        <v>3513</v>
      </c>
      <c r="I19" s="25">
        <f t="shared" si="6"/>
        <v>109064</v>
      </c>
      <c r="J19" s="25">
        <f t="shared" si="6"/>
        <v>61856</v>
      </c>
      <c r="K19" s="25">
        <f t="shared" si="0"/>
        <v>32096</v>
      </c>
      <c r="L19" s="25">
        <f t="shared" si="1"/>
        <v>7006</v>
      </c>
      <c r="M19" s="25">
        <f t="shared" si="2"/>
        <v>380739</v>
      </c>
      <c r="N19" s="25">
        <f t="shared" si="3"/>
        <v>170920</v>
      </c>
    </row>
    <row r="20" spans="1:14" ht="14.25">
      <c r="A20" s="3">
        <f t="shared" si="4"/>
        <v>13</v>
      </c>
      <c r="B20" s="148">
        <v>42580</v>
      </c>
      <c r="C20" s="149">
        <v>22671</v>
      </c>
      <c r="D20" s="149">
        <v>0</v>
      </c>
      <c r="E20" s="77">
        <f t="shared" si="5"/>
        <v>128619</v>
      </c>
      <c r="F20" s="77">
        <f t="shared" si="5"/>
        <v>274791</v>
      </c>
      <c r="G20" s="122">
        <v>9381</v>
      </c>
      <c r="H20" s="122">
        <v>5068</v>
      </c>
      <c r="I20" s="25">
        <f t="shared" si="6"/>
        <v>118445</v>
      </c>
      <c r="J20" s="25">
        <f t="shared" si="6"/>
        <v>66924</v>
      </c>
      <c r="K20" s="25">
        <f t="shared" si="0"/>
        <v>22671</v>
      </c>
      <c r="L20" s="25">
        <f t="shared" si="1"/>
        <v>14449</v>
      </c>
      <c r="M20" s="25">
        <f t="shared" si="2"/>
        <v>403410</v>
      </c>
      <c r="N20" s="25">
        <f t="shared" si="3"/>
        <v>185369</v>
      </c>
    </row>
    <row r="21" spans="1:14" ht="14.25">
      <c r="A21" s="3">
        <f t="shared" si="4"/>
        <v>14</v>
      </c>
      <c r="B21" s="148">
        <v>42587</v>
      </c>
      <c r="C21" s="149">
        <v>7391</v>
      </c>
      <c r="D21" s="149">
        <v>0</v>
      </c>
      <c r="E21" s="77">
        <f t="shared" si="5"/>
        <v>136010</v>
      </c>
      <c r="F21" s="77">
        <f t="shared" si="5"/>
        <v>274791</v>
      </c>
      <c r="G21" s="122">
        <v>6810</v>
      </c>
      <c r="H21" s="122">
        <v>4176</v>
      </c>
      <c r="I21" s="25">
        <f t="shared" si="6"/>
        <v>125255</v>
      </c>
      <c r="J21" s="25">
        <f t="shared" si="6"/>
        <v>71100</v>
      </c>
      <c r="K21" s="25">
        <f t="shared" si="0"/>
        <v>7391</v>
      </c>
      <c r="L21" s="25">
        <f t="shared" si="1"/>
        <v>10986</v>
      </c>
      <c r="M21" s="25">
        <f t="shared" si="2"/>
        <v>410801</v>
      </c>
      <c r="N21" s="25">
        <f t="shared" si="3"/>
        <v>196355</v>
      </c>
    </row>
    <row r="22" spans="1:14" ht="14.25">
      <c r="A22" s="3">
        <f t="shared" si="4"/>
        <v>15</v>
      </c>
      <c r="B22" s="148">
        <v>42594</v>
      </c>
      <c r="C22" s="149">
        <v>2894</v>
      </c>
      <c r="D22" s="149">
        <v>39546</v>
      </c>
      <c r="E22" s="77">
        <f t="shared" si="5"/>
        <v>138904</v>
      </c>
      <c r="F22" s="77">
        <f t="shared" si="5"/>
        <v>314337</v>
      </c>
      <c r="G22" s="122">
        <v>10397</v>
      </c>
      <c r="H22" s="122">
        <v>4289</v>
      </c>
      <c r="I22" s="25">
        <f t="shared" si="6"/>
        <v>135652</v>
      </c>
      <c r="J22" s="25">
        <f t="shared" si="6"/>
        <v>75389</v>
      </c>
      <c r="K22" s="25">
        <f t="shared" si="0"/>
        <v>42440</v>
      </c>
      <c r="L22" s="25">
        <f t="shared" si="1"/>
        <v>14686</v>
      </c>
      <c r="M22" s="25">
        <f t="shared" si="2"/>
        <v>453241</v>
      </c>
      <c r="N22" s="25">
        <f t="shared" si="3"/>
        <v>211041</v>
      </c>
    </row>
    <row r="23" spans="1:14" ht="14.25">
      <c r="A23" s="3">
        <f t="shared" si="4"/>
        <v>16</v>
      </c>
      <c r="B23" s="148">
        <v>42601</v>
      </c>
      <c r="C23" s="149">
        <v>14163</v>
      </c>
      <c r="D23" s="149">
        <v>47731</v>
      </c>
      <c r="E23" s="77">
        <f t="shared" si="5"/>
        <v>153067</v>
      </c>
      <c r="F23" s="77">
        <f t="shared" si="5"/>
        <v>362068</v>
      </c>
      <c r="G23" s="122">
        <v>10092</v>
      </c>
      <c r="H23" s="122">
        <v>4466</v>
      </c>
      <c r="I23" s="25">
        <f t="shared" si="6"/>
        <v>145744</v>
      </c>
      <c r="J23" s="25">
        <f t="shared" si="6"/>
        <v>79855</v>
      </c>
      <c r="K23" s="25">
        <f t="shared" si="0"/>
        <v>61894</v>
      </c>
      <c r="L23" s="25">
        <f t="shared" si="1"/>
        <v>14558</v>
      </c>
      <c r="M23" s="25">
        <f t="shared" si="2"/>
        <v>515135</v>
      </c>
      <c r="N23" s="25">
        <f t="shared" si="3"/>
        <v>225599</v>
      </c>
    </row>
    <row r="24" spans="1:14" ht="14.25">
      <c r="A24" s="3">
        <f t="shared" si="4"/>
        <v>17</v>
      </c>
      <c r="B24" s="148">
        <v>42608</v>
      </c>
      <c r="C24" s="149">
        <v>21024</v>
      </c>
      <c r="D24" s="149">
        <v>95352</v>
      </c>
      <c r="E24" s="77">
        <f t="shared" si="5"/>
        <v>174091</v>
      </c>
      <c r="F24" s="77">
        <f t="shared" si="5"/>
        <v>457420</v>
      </c>
      <c r="G24" s="122">
        <v>14774</v>
      </c>
      <c r="H24" s="122">
        <v>5014</v>
      </c>
      <c r="I24" s="25">
        <f t="shared" si="6"/>
        <v>160518</v>
      </c>
      <c r="J24" s="25">
        <f t="shared" si="6"/>
        <v>84869</v>
      </c>
      <c r="K24" s="25">
        <f t="shared" si="0"/>
        <v>116376</v>
      </c>
      <c r="L24" s="25">
        <f t="shared" si="1"/>
        <v>19788</v>
      </c>
      <c r="M24" s="25">
        <f t="shared" si="2"/>
        <v>631511</v>
      </c>
      <c r="N24" s="25">
        <f t="shared" si="3"/>
        <v>245387</v>
      </c>
    </row>
    <row r="25" spans="1:14" ht="14.25">
      <c r="A25" s="3">
        <f t="shared" si="4"/>
        <v>18</v>
      </c>
      <c r="B25" s="148">
        <v>42615</v>
      </c>
      <c r="C25" s="149">
        <v>16583</v>
      </c>
      <c r="D25" s="149">
        <v>56685</v>
      </c>
      <c r="E25" s="77">
        <f t="shared" si="5"/>
        <v>190674</v>
      </c>
      <c r="F25" s="77">
        <f t="shared" si="5"/>
        <v>514105</v>
      </c>
      <c r="G25" s="122">
        <v>10715</v>
      </c>
      <c r="H25" s="122">
        <v>3293</v>
      </c>
      <c r="I25" s="25">
        <f t="shared" si="6"/>
        <v>171233</v>
      </c>
      <c r="J25" s="25">
        <f t="shared" si="6"/>
        <v>88162</v>
      </c>
      <c r="K25" s="25">
        <f t="shared" si="0"/>
        <v>73268</v>
      </c>
      <c r="L25" s="25">
        <f t="shared" si="1"/>
        <v>14008</v>
      </c>
      <c r="M25" s="25">
        <f t="shared" si="2"/>
        <v>704779</v>
      </c>
      <c r="N25" s="25">
        <f t="shared" si="3"/>
        <v>259395</v>
      </c>
    </row>
    <row r="26" spans="1:14" ht="14.25">
      <c r="A26" s="3">
        <f t="shared" si="4"/>
        <v>19</v>
      </c>
      <c r="B26" s="148">
        <v>42622</v>
      </c>
      <c r="C26" s="149">
        <v>48121</v>
      </c>
      <c r="D26" s="149">
        <v>67915</v>
      </c>
      <c r="E26" s="77">
        <f aca="true" t="shared" si="7" ref="E26:F41">E25+C26</f>
        <v>238795</v>
      </c>
      <c r="F26" s="77">
        <f t="shared" si="7"/>
        <v>582020</v>
      </c>
      <c r="G26" s="122">
        <v>8776</v>
      </c>
      <c r="H26" s="122">
        <v>4726</v>
      </c>
      <c r="I26" s="25">
        <f aca="true" t="shared" si="8" ref="I26:J41">I25+G26</f>
        <v>180009</v>
      </c>
      <c r="J26" s="25">
        <f t="shared" si="8"/>
        <v>92888</v>
      </c>
      <c r="K26" s="25">
        <f t="shared" si="0"/>
        <v>116036</v>
      </c>
      <c r="L26" s="25">
        <f t="shared" si="1"/>
        <v>13502</v>
      </c>
      <c r="M26" s="25">
        <f t="shared" si="2"/>
        <v>820815</v>
      </c>
      <c r="N26" s="25">
        <f t="shared" si="3"/>
        <v>272897</v>
      </c>
    </row>
    <row r="27" spans="1:14" ht="14.25">
      <c r="A27" s="3">
        <f t="shared" si="4"/>
        <v>20</v>
      </c>
      <c r="B27" s="148">
        <v>42629</v>
      </c>
      <c r="C27" s="149">
        <v>0</v>
      </c>
      <c r="D27" s="149">
        <v>59503</v>
      </c>
      <c r="E27" s="77">
        <f t="shared" si="7"/>
        <v>238795</v>
      </c>
      <c r="F27" s="77">
        <f t="shared" si="7"/>
        <v>641523</v>
      </c>
      <c r="G27" s="122">
        <v>8404</v>
      </c>
      <c r="H27" s="122">
        <v>5546</v>
      </c>
      <c r="I27" s="25">
        <f t="shared" si="8"/>
        <v>188413</v>
      </c>
      <c r="J27" s="25">
        <f t="shared" si="8"/>
        <v>98434</v>
      </c>
      <c r="K27" s="25" t="s">
        <v>99</v>
      </c>
      <c r="L27" s="25">
        <f t="shared" si="1"/>
        <v>13950</v>
      </c>
      <c r="M27" s="25">
        <f t="shared" si="2"/>
        <v>880318</v>
      </c>
      <c r="N27" s="25">
        <f t="shared" si="3"/>
        <v>286847</v>
      </c>
    </row>
    <row r="28" spans="1:14" ht="14.25">
      <c r="A28" s="3">
        <f t="shared" si="4"/>
        <v>21</v>
      </c>
      <c r="B28" s="148">
        <v>42636</v>
      </c>
      <c r="C28" s="149">
        <v>17504</v>
      </c>
      <c r="D28" s="149">
        <v>60114</v>
      </c>
      <c r="E28" s="77">
        <f t="shared" si="7"/>
        <v>256299</v>
      </c>
      <c r="F28" s="77">
        <f t="shared" si="7"/>
        <v>701637</v>
      </c>
      <c r="G28" s="124">
        <v>11665</v>
      </c>
      <c r="H28" s="124">
        <v>3950</v>
      </c>
      <c r="I28" s="25">
        <f t="shared" si="8"/>
        <v>200078</v>
      </c>
      <c r="J28" s="25">
        <f t="shared" si="8"/>
        <v>102384</v>
      </c>
      <c r="K28" s="25">
        <f t="shared" si="0"/>
        <v>77618</v>
      </c>
      <c r="L28" s="25">
        <f t="shared" si="1"/>
        <v>15615</v>
      </c>
      <c r="M28" s="25">
        <f t="shared" si="2"/>
        <v>957936</v>
      </c>
      <c r="N28" s="25">
        <f t="shared" si="3"/>
        <v>302462</v>
      </c>
    </row>
    <row r="29" spans="1:14" ht="14.25">
      <c r="A29" s="3">
        <f t="shared" si="4"/>
        <v>22</v>
      </c>
      <c r="B29" s="148">
        <v>42643</v>
      </c>
      <c r="C29" s="149">
        <v>26057</v>
      </c>
      <c r="D29" s="149">
        <v>25471</v>
      </c>
      <c r="E29" s="77">
        <f t="shared" si="7"/>
        <v>282356</v>
      </c>
      <c r="F29" s="77">
        <f t="shared" si="7"/>
        <v>727108</v>
      </c>
      <c r="G29" s="124">
        <v>12806</v>
      </c>
      <c r="H29" s="124">
        <v>5261</v>
      </c>
      <c r="I29" s="25">
        <f t="shared" si="8"/>
        <v>212884</v>
      </c>
      <c r="J29" s="25">
        <f t="shared" si="8"/>
        <v>107645</v>
      </c>
      <c r="K29" s="59">
        <f t="shared" si="0"/>
        <v>51528</v>
      </c>
      <c r="L29" s="25">
        <f t="shared" si="1"/>
        <v>18067</v>
      </c>
      <c r="M29" s="55">
        <f t="shared" si="2"/>
        <v>1009464</v>
      </c>
      <c r="N29" s="25">
        <f t="shared" si="3"/>
        <v>320529</v>
      </c>
    </row>
    <row r="30" spans="1:16" ht="14.25">
      <c r="A30" s="3">
        <f t="shared" si="4"/>
        <v>23</v>
      </c>
      <c r="B30" s="148">
        <v>42650</v>
      </c>
      <c r="C30" s="149">
        <v>12830</v>
      </c>
      <c r="D30" s="150">
        <v>23112</v>
      </c>
      <c r="E30" s="77">
        <f t="shared" si="7"/>
        <v>295186</v>
      </c>
      <c r="F30" s="77">
        <f t="shared" si="7"/>
        <v>750220</v>
      </c>
      <c r="G30" s="124">
        <v>7932</v>
      </c>
      <c r="H30" s="124">
        <v>7464</v>
      </c>
      <c r="I30" s="25">
        <f t="shared" si="8"/>
        <v>220816</v>
      </c>
      <c r="J30" s="25">
        <f t="shared" si="8"/>
        <v>115109</v>
      </c>
      <c r="K30" s="26">
        <f t="shared" si="0"/>
        <v>35942</v>
      </c>
      <c r="L30" s="25">
        <f t="shared" si="1"/>
        <v>15396</v>
      </c>
      <c r="M30" s="25">
        <f t="shared" si="2"/>
        <v>1045406</v>
      </c>
      <c r="N30" s="55">
        <f t="shared" si="3"/>
        <v>335925</v>
      </c>
      <c r="P30" s="83" t="s">
        <v>88</v>
      </c>
    </row>
    <row r="31" spans="1:14" ht="14.25">
      <c r="A31" s="3">
        <f t="shared" si="4"/>
        <v>24</v>
      </c>
      <c r="B31" s="148">
        <v>42657</v>
      </c>
      <c r="C31" s="149">
        <v>6544</v>
      </c>
      <c r="D31" s="149">
        <v>43136</v>
      </c>
      <c r="E31" s="77">
        <f t="shared" si="7"/>
        <v>301730</v>
      </c>
      <c r="F31" s="77">
        <f t="shared" si="7"/>
        <v>793356</v>
      </c>
      <c r="G31" s="124">
        <v>9160</v>
      </c>
      <c r="H31" s="124">
        <v>5775</v>
      </c>
      <c r="I31" s="25">
        <f t="shared" si="8"/>
        <v>229976</v>
      </c>
      <c r="J31" s="25">
        <f t="shared" si="8"/>
        <v>120884</v>
      </c>
      <c r="K31" s="26">
        <f t="shared" si="0"/>
        <v>49680</v>
      </c>
      <c r="L31" s="25">
        <f t="shared" si="1"/>
        <v>14935</v>
      </c>
      <c r="M31" s="25">
        <f t="shared" si="2"/>
        <v>1095086</v>
      </c>
      <c r="N31" s="55">
        <f t="shared" si="3"/>
        <v>350860</v>
      </c>
    </row>
    <row r="32" spans="1:14" ht="14.25">
      <c r="A32" s="3">
        <f t="shared" si="4"/>
        <v>25</v>
      </c>
      <c r="B32" s="148">
        <v>42664</v>
      </c>
      <c r="C32" s="149">
        <v>21616</v>
      </c>
      <c r="D32" s="149">
        <v>47423</v>
      </c>
      <c r="E32" s="77">
        <f t="shared" si="7"/>
        <v>323346</v>
      </c>
      <c r="F32" s="77">
        <f t="shared" si="7"/>
        <v>840779</v>
      </c>
      <c r="G32" s="124">
        <v>14931</v>
      </c>
      <c r="H32" s="124">
        <v>7675</v>
      </c>
      <c r="I32" s="25">
        <f t="shared" si="8"/>
        <v>244907</v>
      </c>
      <c r="J32" s="25">
        <f t="shared" si="8"/>
        <v>128559</v>
      </c>
      <c r="K32" s="26">
        <f t="shared" si="0"/>
        <v>69039</v>
      </c>
      <c r="L32" s="25">
        <f t="shared" si="1"/>
        <v>22606</v>
      </c>
      <c r="M32" s="25">
        <f t="shared" si="2"/>
        <v>1164125</v>
      </c>
      <c r="N32" s="55">
        <f t="shared" si="3"/>
        <v>373466</v>
      </c>
    </row>
    <row r="33" spans="1:14" ht="14.25">
      <c r="A33" s="3">
        <f t="shared" si="4"/>
        <v>26</v>
      </c>
      <c r="B33" s="148">
        <v>42671</v>
      </c>
      <c r="C33" s="149">
        <v>34213</v>
      </c>
      <c r="D33" s="149">
        <v>75594</v>
      </c>
      <c r="E33" s="77">
        <f t="shared" si="7"/>
        <v>357559</v>
      </c>
      <c r="F33" s="77">
        <f t="shared" si="7"/>
        <v>916373</v>
      </c>
      <c r="G33" s="124">
        <v>12081</v>
      </c>
      <c r="H33" s="124">
        <v>9939</v>
      </c>
      <c r="I33" s="25">
        <f t="shared" si="8"/>
        <v>256988</v>
      </c>
      <c r="J33" s="25">
        <f t="shared" si="8"/>
        <v>138498</v>
      </c>
      <c r="K33" s="26">
        <f t="shared" si="0"/>
        <v>109807</v>
      </c>
      <c r="L33" s="25">
        <f t="shared" si="1"/>
        <v>22020</v>
      </c>
      <c r="M33" s="25">
        <f t="shared" si="2"/>
        <v>1273932</v>
      </c>
      <c r="N33" s="55">
        <f t="shared" si="3"/>
        <v>395486</v>
      </c>
    </row>
    <row r="34" spans="1:14" ht="14.25">
      <c r="A34" s="3">
        <f t="shared" si="4"/>
        <v>27</v>
      </c>
      <c r="B34" s="148">
        <v>42678</v>
      </c>
      <c r="C34" s="149">
        <v>51482</v>
      </c>
      <c r="D34" s="149">
        <v>12570</v>
      </c>
      <c r="E34" s="77">
        <f t="shared" si="7"/>
        <v>409041</v>
      </c>
      <c r="F34" s="77">
        <f t="shared" si="7"/>
        <v>928943</v>
      </c>
      <c r="G34" s="124">
        <v>8560</v>
      </c>
      <c r="H34" s="124">
        <v>9123</v>
      </c>
      <c r="I34" s="25">
        <f t="shared" si="8"/>
        <v>265548</v>
      </c>
      <c r="J34" s="25">
        <f t="shared" si="8"/>
        <v>147621</v>
      </c>
      <c r="K34" s="26">
        <f t="shared" si="0"/>
        <v>64052</v>
      </c>
      <c r="L34" s="25">
        <f t="shared" si="1"/>
        <v>17683</v>
      </c>
      <c r="M34" s="25">
        <f t="shared" si="2"/>
        <v>1337984</v>
      </c>
      <c r="N34" s="55">
        <f t="shared" si="3"/>
        <v>413169</v>
      </c>
    </row>
    <row r="35" spans="1:14" ht="14.25">
      <c r="A35" s="3">
        <f t="shared" si="4"/>
        <v>28</v>
      </c>
      <c r="B35" s="148">
        <v>42685</v>
      </c>
      <c r="C35" s="149">
        <v>12719</v>
      </c>
      <c r="D35" s="149">
        <v>0</v>
      </c>
      <c r="E35" s="77">
        <f t="shared" si="7"/>
        <v>421760</v>
      </c>
      <c r="F35" s="77">
        <f t="shared" si="7"/>
        <v>928943</v>
      </c>
      <c r="G35" s="124">
        <v>10500</v>
      </c>
      <c r="H35" s="124">
        <v>8093</v>
      </c>
      <c r="I35" s="25">
        <f t="shared" si="8"/>
        <v>276048</v>
      </c>
      <c r="J35" s="25">
        <f t="shared" si="8"/>
        <v>155714</v>
      </c>
      <c r="K35" s="26">
        <f t="shared" si="0"/>
        <v>12719</v>
      </c>
      <c r="L35" s="25">
        <f t="shared" si="1"/>
        <v>18593</v>
      </c>
      <c r="M35" s="25">
        <f t="shared" si="2"/>
        <v>1350703</v>
      </c>
      <c r="N35" s="55">
        <f t="shared" si="3"/>
        <v>431762</v>
      </c>
    </row>
    <row r="36" spans="1:14" ht="14.25">
      <c r="A36" s="3">
        <f t="shared" si="4"/>
        <v>29</v>
      </c>
      <c r="B36" s="148">
        <v>42692</v>
      </c>
      <c r="C36" s="149">
        <v>37979</v>
      </c>
      <c r="D36" s="149">
        <v>26819</v>
      </c>
      <c r="E36" s="77">
        <f t="shared" si="7"/>
        <v>459739</v>
      </c>
      <c r="F36" s="77">
        <f t="shared" si="7"/>
        <v>955762</v>
      </c>
      <c r="G36" s="124">
        <v>10050</v>
      </c>
      <c r="H36" s="124">
        <v>8853</v>
      </c>
      <c r="I36" s="25">
        <f t="shared" si="8"/>
        <v>286098</v>
      </c>
      <c r="J36" s="25">
        <f t="shared" si="8"/>
        <v>164567</v>
      </c>
      <c r="K36" s="26">
        <f t="shared" si="0"/>
        <v>64798</v>
      </c>
      <c r="L36" s="25">
        <f t="shared" si="1"/>
        <v>18903</v>
      </c>
      <c r="M36" s="25">
        <f t="shared" si="2"/>
        <v>1415501</v>
      </c>
      <c r="N36" s="55">
        <f t="shared" si="3"/>
        <v>450665</v>
      </c>
    </row>
    <row r="37" spans="1:14" ht="14.25">
      <c r="A37" s="3">
        <f t="shared" si="4"/>
        <v>30</v>
      </c>
      <c r="B37" s="148">
        <v>42699</v>
      </c>
      <c r="C37" s="149">
        <v>34161</v>
      </c>
      <c r="D37" s="149">
        <v>22149</v>
      </c>
      <c r="E37" s="77">
        <f t="shared" si="7"/>
        <v>493900</v>
      </c>
      <c r="F37" s="77">
        <f t="shared" si="7"/>
        <v>977911</v>
      </c>
      <c r="G37" s="124">
        <v>12894</v>
      </c>
      <c r="H37" s="124">
        <v>8461</v>
      </c>
      <c r="I37" s="25">
        <f t="shared" si="8"/>
        <v>298992</v>
      </c>
      <c r="J37" s="25">
        <f t="shared" si="8"/>
        <v>173028</v>
      </c>
      <c r="K37" s="26">
        <f t="shared" si="0"/>
        <v>56310</v>
      </c>
      <c r="L37" s="25">
        <f t="shared" si="1"/>
        <v>21355</v>
      </c>
      <c r="M37" s="25">
        <f t="shared" si="2"/>
        <v>1471811</v>
      </c>
      <c r="N37" s="55">
        <f t="shared" si="3"/>
        <v>472020</v>
      </c>
    </row>
    <row r="38" spans="1:14" ht="14.25">
      <c r="A38" s="3">
        <f t="shared" si="4"/>
        <v>31</v>
      </c>
      <c r="B38" s="148">
        <v>42706</v>
      </c>
      <c r="C38" s="149">
        <v>38279</v>
      </c>
      <c r="D38" s="149">
        <v>51202</v>
      </c>
      <c r="E38" s="77">
        <f t="shared" si="7"/>
        <v>532179</v>
      </c>
      <c r="F38" s="77">
        <f t="shared" si="7"/>
        <v>1029113</v>
      </c>
      <c r="G38" s="124">
        <v>11281</v>
      </c>
      <c r="H38" s="124">
        <v>10051</v>
      </c>
      <c r="I38" s="25">
        <f t="shared" si="8"/>
        <v>310273</v>
      </c>
      <c r="J38" s="25">
        <f t="shared" si="8"/>
        <v>183079</v>
      </c>
      <c r="K38" s="26">
        <f t="shared" si="0"/>
        <v>89481</v>
      </c>
      <c r="L38" s="25">
        <f t="shared" si="1"/>
        <v>21332</v>
      </c>
      <c r="M38" s="25">
        <f t="shared" si="2"/>
        <v>1561292</v>
      </c>
      <c r="N38" s="55">
        <f t="shared" si="3"/>
        <v>493352</v>
      </c>
    </row>
    <row r="39" spans="1:14" ht="14.25">
      <c r="A39" s="3">
        <f t="shared" si="4"/>
        <v>32</v>
      </c>
      <c r="B39" s="148">
        <v>42713</v>
      </c>
      <c r="C39" s="149">
        <v>0</v>
      </c>
      <c r="D39" s="149">
        <v>0</v>
      </c>
      <c r="E39" s="77">
        <f t="shared" si="7"/>
        <v>532179</v>
      </c>
      <c r="F39" s="77">
        <f t="shared" si="7"/>
        <v>1029113</v>
      </c>
      <c r="G39" s="149">
        <v>0</v>
      </c>
      <c r="H39" s="149">
        <v>0</v>
      </c>
      <c r="I39" s="25">
        <f t="shared" si="8"/>
        <v>310273</v>
      </c>
      <c r="J39" s="25">
        <f t="shared" si="8"/>
        <v>183079</v>
      </c>
      <c r="K39" s="26">
        <f t="shared" si="0"/>
        <v>0</v>
      </c>
      <c r="L39" s="25">
        <f t="shared" si="1"/>
        <v>0</v>
      </c>
      <c r="M39" s="25">
        <f t="shared" si="2"/>
        <v>1561292</v>
      </c>
      <c r="N39" s="55">
        <f t="shared" si="3"/>
        <v>493352</v>
      </c>
    </row>
    <row r="40" spans="1:14" ht="14.25">
      <c r="A40" s="3">
        <f t="shared" si="4"/>
        <v>33</v>
      </c>
      <c r="B40" s="148">
        <v>42720</v>
      </c>
      <c r="C40" s="149">
        <v>0</v>
      </c>
      <c r="D40" s="149">
        <v>0</v>
      </c>
      <c r="E40" s="77">
        <f t="shared" si="7"/>
        <v>532179</v>
      </c>
      <c r="F40" s="77">
        <f t="shared" si="7"/>
        <v>1029113</v>
      </c>
      <c r="G40" s="149">
        <v>0</v>
      </c>
      <c r="H40" s="149">
        <v>0</v>
      </c>
      <c r="I40" s="25">
        <f t="shared" si="8"/>
        <v>310273</v>
      </c>
      <c r="J40" s="25">
        <f t="shared" si="8"/>
        <v>183079</v>
      </c>
      <c r="K40" s="26">
        <f t="shared" si="0"/>
        <v>0</v>
      </c>
      <c r="L40" s="25">
        <f t="shared" si="1"/>
        <v>0</v>
      </c>
      <c r="M40" s="25">
        <f t="shared" si="2"/>
        <v>1561292</v>
      </c>
      <c r="N40" s="55">
        <f t="shared" si="3"/>
        <v>493352</v>
      </c>
    </row>
    <row r="41" spans="1:14" ht="14.25">
      <c r="A41" s="3">
        <f aca="true" t="shared" si="9" ref="A41:A60">A40+1</f>
        <v>34</v>
      </c>
      <c r="B41" s="148">
        <v>42727</v>
      </c>
      <c r="C41" s="149">
        <v>0</v>
      </c>
      <c r="D41" s="149">
        <v>0</v>
      </c>
      <c r="E41" s="77">
        <f t="shared" si="7"/>
        <v>532179</v>
      </c>
      <c r="F41" s="77">
        <f t="shared" si="7"/>
        <v>1029113</v>
      </c>
      <c r="G41" s="149">
        <v>0</v>
      </c>
      <c r="H41" s="149">
        <v>0</v>
      </c>
      <c r="I41" s="25">
        <f t="shared" si="8"/>
        <v>310273</v>
      </c>
      <c r="J41" s="25">
        <f t="shared" si="8"/>
        <v>183079</v>
      </c>
      <c r="K41" s="26">
        <f t="shared" si="0"/>
        <v>0</v>
      </c>
      <c r="L41" s="25">
        <f t="shared" si="1"/>
        <v>0</v>
      </c>
      <c r="M41" s="25">
        <f t="shared" si="2"/>
        <v>1561292</v>
      </c>
      <c r="N41" s="55">
        <f t="shared" si="3"/>
        <v>493352</v>
      </c>
    </row>
    <row r="42" spans="1:14" ht="14.25">
      <c r="A42" s="3">
        <f t="shared" si="9"/>
        <v>35</v>
      </c>
      <c r="B42" s="148">
        <v>42734</v>
      </c>
      <c r="C42" s="149">
        <v>28448</v>
      </c>
      <c r="D42" s="149">
        <v>82835</v>
      </c>
      <c r="E42" s="77">
        <f aca="true" t="shared" si="10" ref="E42:F57">E41+C42</f>
        <v>560627</v>
      </c>
      <c r="F42" s="77">
        <f t="shared" si="10"/>
        <v>1111948</v>
      </c>
      <c r="G42" s="149">
        <v>28693</v>
      </c>
      <c r="H42" s="149">
        <v>25262</v>
      </c>
      <c r="I42" s="25">
        <f aca="true" t="shared" si="11" ref="I42:J57">I41+G42</f>
        <v>338966</v>
      </c>
      <c r="J42" s="25">
        <f t="shared" si="11"/>
        <v>208341</v>
      </c>
      <c r="K42" s="26">
        <f t="shared" si="0"/>
        <v>111283</v>
      </c>
      <c r="L42" s="25">
        <f t="shared" si="1"/>
        <v>53955</v>
      </c>
      <c r="M42" s="25">
        <f t="shared" si="2"/>
        <v>1672575</v>
      </c>
      <c r="N42" s="55">
        <f t="shared" si="3"/>
        <v>547307</v>
      </c>
    </row>
    <row r="43" spans="1:14" ht="14.25">
      <c r="A43" s="3">
        <f t="shared" si="9"/>
        <v>36</v>
      </c>
      <c r="B43" s="148">
        <v>42741</v>
      </c>
      <c r="C43" s="149">
        <v>4077</v>
      </c>
      <c r="D43" s="149">
        <v>28901</v>
      </c>
      <c r="E43" s="77">
        <f t="shared" si="10"/>
        <v>564704</v>
      </c>
      <c r="F43" s="77">
        <f t="shared" si="10"/>
        <v>1140849</v>
      </c>
      <c r="G43" s="124">
        <v>6445</v>
      </c>
      <c r="H43" s="121">
        <v>4933</v>
      </c>
      <c r="I43" s="25">
        <f t="shared" si="11"/>
        <v>345411</v>
      </c>
      <c r="J43" s="25">
        <f t="shared" si="11"/>
        <v>213274</v>
      </c>
      <c r="K43" s="26">
        <f t="shared" si="0"/>
        <v>32978</v>
      </c>
      <c r="L43" s="25">
        <f t="shared" si="1"/>
        <v>11378</v>
      </c>
      <c r="M43" s="25">
        <f t="shared" si="2"/>
        <v>1705553</v>
      </c>
      <c r="N43" s="55">
        <f t="shared" si="3"/>
        <v>558685</v>
      </c>
    </row>
    <row r="44" spans="1:14" ht="14.25">
      <c r="A44" s="3">
        <f t="shared" si="9"/>
        <v>37</v>
      </c>
      <c r="B44" s="148">
        <v>42748</v>
      </c>
      <c r="C44" s="149">
        <v>16363</v>
      </c>
      <c r="D44" s="149">
        <v>2759</v>
      </c>
      <c r="E44" s="77">
        <f t="shared" si="10"/>
        <v>581067</v>
      </c>
      <c r="F44" s="77">
        <f t="shared" si="10"/>
        <v>1143608</v>
      </c>
      <c r="G44" s="124">
        <v>9766</v>
      </c>
      <c r="H44" s="121">
        <v>5759</v>
      </c>
      <c r="I44" s="25">
        <f t="shared" si="11"/>
        <v>355177</v>
      </c>
      <c r="J44" s="25">
        <f t="shared" si="11"/>
        <v>219033</v>
      </c>
      <c r="K44" s="26">
        <f t="shared" si="0"/>
        <v>19122</v>
      </c>
      <c r="L44" s="25">
        <f t="shared" si="1"/>
        <v>15525</v>
      </c>
      <c r="M44" s="25">
        <f t="shared" si="2"/>
        <v>1724675</v>
      </c>
      <c r="N44" s="55">
        <f t="shared" si="3"/>
        <v>574210</v>
      </c>
    </row>
    <row r="45" spans="1:14" ht="14.25">
      <c r="A45" s="3">
        <f t="shared" si="9"/>
        <v>38</v>
      </c>
      <c r="B45" s="148">
        <v>42755</v>
      </c>
      <c r="C45" s="149">
        <v>0</v>
      </c>
      <c r="D45" s="149">
        <v>21858</v>
      </c>
      <c r="E45" s="77">
        <f t="shared" si="10"/>
        <v>581067</v>
      </c>
      <c r="F45" s="77">
        <f t="shared" si="10"/>
        <v>1165466</v>
      </c>
      <c r="G45" s="124">
        <v>8533</v>
      </c>
      <c r="H45" s="121">
        <v>4923</v>
      </c>
      <c r="I45" s="25">
        <f t="shared" si="11"/>
        <v>363710</v>
      </c>
      <c r="J45" s="25">
        <f t="shared" si="11"/>
        <v>223956</v>
      </c>
      <c r="K45" s="26">
        <f t="shared" si="0"/>
        <v>21858</v>
      </c>
      <c r="L45" s="25">
        <f t="shared" si="1"/>
        <v>13456</v>
      </c>
      <c r="M45" s="25">
        <f t="shared" si="2"/>
        <v>1746533</v>
      </c>
      <c r="N45" s="55">
        <f t="shared" si="3"/>
        <v>587666</v>
      </c>
    </row>
    <row r="46" spans="1:14" ht="14.25">
      <c r="A46" s="3">
        <f t="shared" si="9"/>
        <v>39</v>
      </c>
      <c r="B46" s="148">
        <v>42762</v>
      </c>
      <c r="C46" s="149">
        <v>21397</v>
      </c>
      <c r="D46" s="149">
        <v>30450</v>
      </c>
      <c r="E46" s="77">
        <f t="shared" si="10"/>
        <v>602464</v>
      </c>
      <c r="F46" s="77">
        <f t="shared" si="10"/>
        <v>1195916</v>
      </c>
      <c r="G46" s="124">
        <v>7686</v>
      </c>
      <c r="H46" s="121">
        <v>7267</v>
      </c>
      <c r="I46" s="25">
        <f t="shared" si="11"/>
        <v>371396</v>
      </c>
      <c r="J46" s="25">
        <f t="shared" si="11"/>
        <v>231223</v>
      </c>
      <c r="K46" s="26">
        <f t="shared" si="0"/>
        <v>51847</v>
      </c>
      <c r="L46" s="25">
        <f t="shared" si="1"/>
        <v>14953</v>
      </c>
      <c r="M46" s="25">
        <f t="shared" si="2"/>
        <v>1798380</v>
      </c>
      <c r="N46" s="55">
        <f t="shared" si="3"/>
        <v>602619</v>
      </c>
    </row>
    <row r="47" spans="1:14" ht="14.25">
      <c r="A47" s="3">
        <f t="shared" si="9"/>
        <v>40</v>
      </c>
      <c r="B47" s="148">
        <v>42769</v>
      </c>
      <c r="C47" s="149">
        <v>16740</v>
      </c>
      <c r="D47" s="149">
        <v>68597</v>
      </c>
      <c r="E47" s="77">
        <f t="shared" si="10"/>
        <v>619204</v>
      </c>
      <c r="F47" s="77">
        <f t="shared" si="10"/>
        <v>1264513</v>
      </c>
      <c r="G47" s="124">
        <v>6321</v>
      </c>
      <c r="H47" s="121">
        <v>6070</v>
      </c>
      <c r="I47" s="25">
        <f t="shared" si="11"/>
        <v>377717</v>
      </c>
      <c r="J47" s="25">
        <f t="shared" si="11"/>
        <v>237293</v>
      </c>
      <c r="K47" s="26">
        <f t="shared" si="0"/>
        <v>85337</v>
      </c>
      <c r="L47" s="25">
        <f t="shared" si="1"/>
        <v>12391</v>
      </c>
      <c r="M47" s="25">
        <f t="shared" si="2"/>
        <v>1883717</v>
      </c>
      <c r="N47" s="55">
        <f t="shared" si="3"/>
        <v>615010</v>
      </c>
    </row>
    <row r="48" spans="1:14" ht="14.25">
      <c r="A48" s="3">
        <f t="shared" si="9"/>
        <v>41</v>
      </c>
      <c r="B48" s="148">
        <v>42776</v>
      </c>
      <c r="C48" s="149">
        <v>3590</v>
      </c>
      <c r="D48" s="149">
        <v>11335</v>
      </c>
      <c r="E48" s="77">
        <f t="shared" si="10"/>
        <v>622794</v>
      </c>
      <c r="F48" s="77">
        <f t="shared" si="10"/>
        <v>1275848</v>
      </c>
      <c r="G48" s="124">
        <v>10321</v>
      </c>
      <c r="H48" s="121">
        <v>6122</v>
      </c>
      <c r="I48" s="25">
        <f t="shared" si="11"/>
        <v>388038</v>
      </c>
      <c r="J48" s="25">
        <f t="shared" si="11"/>
        <v>243415</v>
      </c>
      <c r="K48" s="26">
        <f t="shared" si="0"/>
        <v>14925</v>
      </c>
      <c r="L48" s="25">
        <f t="shared" si="1"/>
        <v>16443</v>
      </c>
      <c r="M48" s="25">
        <f t="shared" si="2"/>
        <v>1898642</v>
      </c>
      <c r="N48" s="55">
        <f t="shared" si="3"/>
        <v>631453</v>
      </c>
    </row>
    <row r="49" spans="1:14" ht="14.25">
      <c r="A49" s="3">
        <f t="shared" si="9"/>
        <v>42</v>
      </c>
      <c r="B49" s="148">
        <v>42783</v>
      </c>
      <c r="C49" s="149">
        <v>0</v>
      </c>
      <c r="D49" s="149">
        <v>12193</v>
      </c>
      <c r="E49" s="77">
        <f t="shared" si="10"/>
        <v>622794</v>
      </c>
      <c r="F49" s="77">
        <f t="shared" si="10"/>
        <v>1288041</v>
      </c>
      <c r="G49" s="124">
        <v>6788</v>
      </c>
      <c r="H49" s="121">
        <v>5456</v>
      </c>
      <c r="I49" s="25">
        <f t="shared" si="11"/>
        <v>394826</v>
      </c>
      <c r="J49" s="25">
        <f t="shared" si="11"/>
        <v>248871</v>
      </c>
      <c r="K49" s="26">
        <f t="shared" si="0"/>
        <v>12193</v>
      </c>
      <c r="L49" s="25">
        <f t="shared" si="1"/>
        <v>12244</v>
      </c>
      <c r="M49" s="25">
        <f t="shared" si="2"/>
        <v>1910835</v>
      </c>
      <c r="N49" s="55">
        <f t="shared" si="3"/>
        <v>643697</v>
      </c>
    </row>
    <row r="50" spans="1:14" ht="14.25">
      <c r="A50" s="3">
        <f t="shared" si="9"/>
        <v>43</v>
      </c>
      <c r="B50" s="148">
        <v>42790</v>
      </c>
      <c r="C50" s="149">
        <v>0</v>
      </c>
      <c r="D50" s="149">
        <v>17623</v>
      </c>
      <c r="E50" s="77">
        <f t="shared" si="10"/>
        <v>622794</v>
      </c>
      <c r="F50" s="77">
        <f t="shared" si="10"/>
        <v>1305664</v>
      </c>
      <c r="G50" s="124">
        <v>12926</v>
      </c>
      <c r="H50" s="121">
        <v>6299</v>
      </c>
      <c r="I50" s="25">
        <f t="shared" si="11"/>
        <v>407752</v>
      </c>
      <c r="J50" s="25">
        <f t="shared" si="11"/>
        <v>255170</v>
      </c>
      <c r="K50" s="26">
        <f>C50+D50</f>
        <v>17623</v>
      </c>
      <c r="L50" s="25">
        <f t="shared" si="1"/>
        <v>19225</v>
      </c>
      <c r="M50" s="25">
        <f t="shared" si="2"/>
        <v>1928458</v>
      </c>
      <c r="N50" s="55">
        <f t="shared" si="3"/>
        <v>662922</v>
      </c>
    </row>
    <row r="51" spans="1:14" ht="14.25">
      <c r="A51" s="3">
        <f t="shared" si="9"/>
        <v>44</v>
      </c>
      <c r="B51" s="148">
        <v>42797</v>
      </c>
      <c r="C51" s="149">
        <v>0</v>
      </c>
      <c r="D51" s="149">
        <v>71878</v>
      </c>
      <c r="E51" s="77">
        <f t="shared" si="10"/>
        <v>622794</v>
      </c>
      <c r="F51" s="77">
        <f t="shared" si="10"/>
        <v>1377542</v>
      </c>
      <c r="G51" s="124">
        <v>10995</v>
      </c>
      <c r="H51" s="121">
        <v>4279</v>
      </c>
      <c r="I51" s="25">
        <f t="shared" si="11"/>
        <v>418747</v>
      </c>
      <c r="J51" s="25">
        <f t="shared" si="11"/>
        <v>259449</v>
      </c>
      <c r="K51" s="26">
        <f>C51+D51</f>
        <v>71878</v>
      </c>
      <c r="L51" s="25">
        <f t="shared" si="1"/>
        <v>15274</v>
      </c>
      <c r="M51" s="25">
        <f t="shared" si="2"/>
        <v>2000336</v>
      </c>
      <c r="N51" s="55">
        <f t="shared" si="3"/>
        <v>678196</v>
      </c>
    </row>
    <row r="52" spans="1:14" ht="14.25">
      <c r="A52" s="3">
        <f t="shared" si="9"/>
        <v>45</v>
      </c>
      <c r="B52" s="148">
        <v>42804</v>
      </c>
      <c r="C52" s="149">
        <v>0</v>
      </c>
      <c r="D52" s="149">
        <v>116848</v>
      </c>
      <c r="E52" s="77">
        <f t="shared" si="10"/>
        <v>622794</v>
      </c>
      <c r="F52" s="77">
        <f t="shared" si="10"/>
        <v>1494390</v>
      </c>
      <c r="G52" s="124">
        <v>10656</v>
      </c>
      <c r="H52" s="121">
        <v>4899</v>
      </c>
      <c r="I52" s="25">
        <f t="shared" si="11"/>
        <v>429403</v>
      </c>
      <c r="J52" s="25">
        <f t="shared" si="11"/>
        <v>264348</v>
      </c>
      <c r="K52" s="26">
        <f t="shared" si="0"/>
        <v>116848</v>
      </c>
      <c r="L52" s="25">
        <f t="shared" si="1"/>
        <v>15555</v>
      </c>
      <c r="M52" s="25">
        <f t="shared" si="2"/>
        <v>2117184</v>
      </c>
      <c r="N52" s="55">
        <f t="shared" si="3"/>
        <v>693751</v>
      </c>
    </row>
    <row r="53" spans="1:14" ht="14.25">
      <c r="A53" s="3">
        <f t="shared" si="9"/>
        <v>46</v>
      </c>
      <c r="B53" s="148">
        <v>42811</v>
      </c>
      <c r="C53" s="149">
        <v>16455</v>
      </c>
      <c r="D53" s="149">
        <v>68344</v>
      </c>
      <c r="E53" s="77">
        <f t="shared" si="10"/>
        <v>639249</v>
      </c>
      <c r="F53" s="77">
        <f t="shared" si="10"/>
        <v>1562734</v>
      </c>
      <c r="G53" s="124">
        <v>12187</v>
      </c>
      <c r="H53" s="121">
        <v>4256</v>
      </c>
      <c r="I53" s="25">
        <f t="shared" si="11"/>
        <v>441590</v>
      </c>
      <c r="J53" s="25">
        <f t="shared" si="11"/>
        <v>268604</v>
      </c>
      <c r="K53" s="26">
        <f t="shared" si="0"/>
        <v>84799</v>
      </c>
      <c r="L53" s="25">
        <f t="shared" si="1"/>
        <v>16443</v>
      </c>
      <c r="M53" s="25">
        <f t="shared" si="2"/>
        <v>2201983</v>
      </c>
      <c r="N53" s="55">
        <f t="shared" si="3"/>
        <v>710194</v>
      </c>
    </row>
    <row r="54" spans="1:14" ht="14.25">
      <c r="A54" s="3">
        <f t="shared" si="9"/>
        <v>47</v>
      </c>
      <c r="B54" s="148">
        <v>42818</v>
      </c>
      <c r="C54" s="149">
        <v>11212</v>
      </c>
      <c r="D54" s="149">
        <v>1430</v>
      </c>
      <c r="E54" s="77">
        <f t="shared" si="10"/>
        <v>650461</v>
      </c>
      <c r="F54" s="77">
        <f t="shared" si="10"/>
        <v>1564164</v>
      </c>
      <c r="G54" s="124">
        <v>12151</v>
      </c>
      <c r="H54" s="121">
        <v>3859</v>
      </c>
      <c r="I54" s="25">
        <f t="shared" si="11"/>
        <v>453741</v>
      </c>
      <c r="J54" s="25">
        <f t="shared" si="11"/>
        <v>272463</v>
      </c>
      <c r="K54" s="26">
        <f t="shared" si="0"/>
        <v>12642</v>
      </c>
      <c r="L54" s="25">
        <f t="shared" si="1"/>
        <v>16010</v>
      </c>
      <c r="M54" s="25">
        <f t="shared" si="2"/>
        <v>2214625</v>
      </c>
      <c r="N54" s="55">
        <f t="shared" si="3"/>
        <v>726204</v>
      </c>
    </row>
    <row r="55" spans="1:14" ht="14.25">
      <c r="A55" s="3">
        <f t="shared" si="9"/>
        <v>48</v>
      </c>
      <c r="B55" s="148">
        <v>42825</v>
      </c>
      <c r="C55" s="149">
        <v>14068</v>
      </c>
      <c r="D55" s="149">
        <v>28507</v>
      </c>
      <c r="E55" s="77">
        <f t="shared" si="10"/>
        <v>664529</v>
      </c>
      <c r="F55" s="77">
        <f t="shared" si="10"/>
        <v>1592671</v>
      </c>
      <c r="G55" s="124">
        <v>28714</v>
      </c>
      <c r="H55" s="121">
        <v>4791</v>
      </c>
      <c r="I55" s="25">
        <f t="shared" si="11"/>
        <v>482455</v>
      </c>
      <c r="J55" s="25">
        <f t="shared" si="11"/>
        <v>277254</v>
      </c>
      <c r="K55" s="26">
        <f t="shared" si="0"/>
        <v>42575</v>
      </c>
      <c r="L55" s="25">
        <f t="shared" si="1"/>
        <v>33505</v>
      </c>
      <c r="M55" s="25">
        <f t="shared" si="2"/>
        <v>2257200</v>
      </c>
      <c r="N55" s="55">
        <f t="shared" si="3"/>
        <v>759709</v>
      </c>
    </row>
    <row r="56" spans="1:14" ht="14.25">
      <c r="A56" s="3">
        <f t="shared" si="9"/>
        <v>49</v>
      </c>
      <c r="B56" s="148">
        <v>42832</v>
      </c>
      <c r="C56" s="149">
        <v>0</v>
      </c>
      <c r="D56" s="149">
        <v>0</v>
      </c>
      <c r="E56" s="77">
        <f t="shared" si="10"/>
        <v>664529</v>
      </c>
      <c r="F56" s="77">
        <f t="shared" si="10"/>
        <v>1592671</v>
      </c>
      <c r="G56" s="124">
        <v>14972</v>
      </c>
      <c r="H56" s="121">
        <v>2698</v>
      </c>
      <c r="I56" s="25">
        <f t="shared" si="11"/>
        <v>497427</v>
      </c>
      <c r="J56" s="25">
        <f t="shared" si="11"/>
        <v>279952</v>
      </c>
      <c r="K56" s="26">
        <f t="shared" si="0"/>
        <v>0</v>
      </c>
      <c r="L56" s="25">
        <f t="shared" si="1"/>
        <v>17670</v>
      </c>
      <c r="M56" s="25">
        <f t="shared" si="2"/>
        <v>2257200</v>
      </c>
      <c r="N56" s="55">
        <f t="shared" si="3"/>
        <v>777379</v>
      </c>
    </row>
    <row r="57" spans="1:14" ht="14.25">
      <c r="A57" s="3">
        <f t="shared" si="9"/>
        <v>50</v>
      </c>
      <c r="B57" s="148">
        <v>42839</v>
      </c>
      <c r="C57" s="149">
        <v>0</v>
      </c>
      <c r="D57" s="149">
        <v>0</v>
      </c>
      <c r="E57" s="77">
        <f t="shared" si="10"/>
        <v>664529</v>
      </c>
      <c r="F57" s="77">
        <f t="shared" si="10"/>
        <v>1592671</v>
      </c>
      <c r="G57" s="124">
        <v>9738</v>
      </c>
      <c r="H57" s="121">
        <v>3346</v>
      </c>
      <c r="I57" s="25">
        <f t="shared" si="11"/>
        <v>507165</v>
      </c>
      <c r="J57" s="25">
        <f t="shared" si="11"/>
        <v>283298</v>
      </c>
      <c r="K57" s="26">
        <f t="shared" si="0"/>
        <v>0</v>
      </c>
      <c r="L57" s="25">
        <f t="shared" si="1"/>
        <v>13084</v>
      </c>
      <c r="M57" s="25">
        <f t="shared" si="2"/>
        <v>2257200</v>
      </c>
      <c r="N57" s="55">
        <f t="shared" si="3"/>
        <v>790463</v>
      </c>
    </row>
    <row r="58" spans="1:14" ht="14.25">
      <c r="A58" s="3">
        <f t="shared" si="9"/>
        <v>51</v>
      </c>
      <c r="B58" s="148">
        <v>42846</v>
      </c>
      <c r="C58" s="149">
        <v>0</v>
      </c>
      <c r="D58" s="149">
        <v>0</v>
      </c>
      <c r="E58" s="77">
        <f aca="true" t="shared" si="12" ref="E58:F60">E57+C58</f>
        <v>664529</v>
      </c>
      <c r="F58" s="77">
        <f t="shared" si="12"/>
        <v>1592671</v>
      </c>
      <c r="G58" s="124">
        <v>8476</v>
      </c>
      <c r="H58" s="121">
        <v>2678</v>
      </c>
      <c r="I58" s="25">
        <f aca="true" t="shared" si="13" ref="I58:J60">I57+G58</f>
        <v>515641</v>
      </c>
      <c r="J58" s="25">
        <f t="shared" si="13"/>
        <v>285976</v>
      </c>
      <c r="K58" s="26">
        <f t="shared" si="0"/>
        <v>0</v>
      </c>
      <c r="L58" s="25">
        <f t="shared" si="1"/>
        <v>11154</v>
      </c>
      <c r="M58" s="25">
        <f t="shared" si="2"/>
        <v>2257200</v>
      </c>
      <c r="N58" s="55">
        <f t="shared" si="3"/>
        <v>801617</v>
      </c>
    </row>
    <row r="59" spans="1:14" ht="15" thickBot="1">
      <c r="A59" s="3">
        <f t="shared" si="9"/>
        <v>52</v>
      </c>
      <c r="B59" s="151">
        <v>42853</v>
      </c>
      <c r="C59" s="152">
        <v>0</v>
      </c>
      <c r="D59" s="195">
        <v>0</v>
      </c>
      <c r="E59" s="75">
        <f t="shared" si="12"/>
        <v>664529</v>
      </c>
      <c r="F59" s="75">
        <f t="shared" si="12"/>
        <v>1592671</v>
      </c>
      <c r="G59" s="160">
        <v>9438</v>
      </c>
      <c r="H59" s="153">
        <v>3164</v>
      </c>
      <c r="I59" s="58">
        <f t="shared" si="13"/>
        <v>525079</v>
      </c>
      <c r="J59" s="58">
        <f t="shared" si="13"/>
        <v>289140</v>
      </c>
      <c r="K59" s="56">
        <f t="shared" si="0"/>
        <v>0</v>
      </c>
      <c r="L59" s="58">
        <f t="shared" si="1"/>
        <v>12602</v>
      </c>
      <c r="M59" s="58">
        <f t="shared" si="2"/>
        <v>2257200</v>
      </c>
      <c r="N59" s="57">
        <f t="shared" si="3"/>
        <v>814219</v>
      </c>
    </row>
    <row r="60" spans="1:14" ht="15" thickBot="1">
      <c r="A60" s="3">
        <f t="shared" si="9"/>
        <v>53</v>
      </c>
      <c r="B60" s="175">
        <v>42489</v>
      </c>
      <c r="C60" s="176">
        <v>9287</v>
      </c>
      <c r="D60" s="176">
        <v>46419</v>
      </c>
      <c r="E60" s="75">
        <f t="shared" si="12"/>
        <v>673816</v>
      </c>
      <c r="F60" s="75">
        <f t="shared" si="12"/>
        <v>1639090</v>
      </c>
      <c r="G60" s="177">
        <v>11300</v>
      </c>
      <c r="H60" s="178">
        <v>4778</v>
      </c>
      <c r="I60" s="58">
        <f t="shared" si="13"/>
        <v>536379</v>
      </c>
      <c r="J60" s="58">
        <f t="shared" si="13"/>
        <v>293918</v>
      </c>
      <c r="K60" s="56">
        <f>C60+D60</f>
        <v>55706</v>
      </c>
      <c r="L60" s="58">
        <f>G60+H60</f>
        <v>16078</v>
      </c>
      <c r="M60" s="58">
        <f>E60+F60</f>
        <v>2312906</v>
      </c>
      <c r="N60" s="57">
        <f>I60+J60</f>
        <v>830297</v>
      </c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tabSelected="1" zoomScale="96" zoomScaleNormal="96" zoomScalePageLayoutView="0" workbookViewId="0" topLeftCell="A1">
      <pane xSplit="2" ySplit="7" topLeftCell="C4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2" sqref="B52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8.8515625" style="15" customWidth="1"/>
  </cols>
  <sheetData>
    <row r="1" spans="3:5" s="3" customFormat="1" ht="15">
      <c r="C1" s="98" t="s">
        <v>232</v>
      </c>
      <c r="D1" s="65"/>
      <c r="E1" s="65"/>
    </row>
    <row r="2" spans="3:15" s="3" customFormat="1" ht="15">
      <c r="C2" s="98" t="s">
        <v>233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14" t="s">
        <v>33</v>
      </c>
      <c r="D5" s="115" t="s">
        <v>34</v>
      </c>
      <c r="E5" s="108" t="s">
        <v>33</v>
      </c>
      <c r="F5" s="95" t="s">
        <v>34</v>
      </c>
      <c r="G5" s="118" t="s">
        <v>33</v>
      </c>
      <c r="H5" s="11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16"/>
      <c r="D6" s="113"/>
      <c r="E6" s="111" t="s">
        <v>38</v>
      </c>
      <c r="F6" s="154" t="s">
        <v>39</v>
      </c>
      <c r="G6" s="117"/>
      <c r="H6" s="16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20"/>
      <c r="C7" s="109" t="s">
        <v>41</v>
      </c>
      <c r="D7" s="68" t="s">
        <v>41</v>
      </c>
      <c r="E7" s="108" t="s">
        <v>41</v>
      </c>
      <c r="F7" s="95" t="s">
        <v>41</v>
      </c>
      <c r="G7" s="96" t="s">
        <v>41</v>
      </c>
      <c r="H7" s="97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8">
        <v>42860</v>
      </c>
      <c r="C8" s="149">
        <v>0</v>
      </c>
      <c r="D8" s="149">
        <v>0</v>
      </c>
      <c r="E8" s="76">
        <f>+C8</f>
        <v>0</v>
      </c>
      <c r="F8" s="76">
        <f>+D8</f>
        <v>0</v>
      </c>
      <c r="G8" s="122">
        <v>10928</v>
      </c>
      <c r="H8" s="122">
        <v>2445</v>
      </c>
      <c r="I8" s="24">
        <f>+G8</f>
        <v>10928</v>
      </c>
      <c r="J8" s="24">
        <f>+H8</f>
        <v>2445</v>
      </c>
      <c r="K8" s="24">
        <f aca="true" t="shared" si="0" ref="K8:K59">C8+D8</f>
        <v>0</v>
      </c>
      <c r="L8" s="24">
        <f>G8+H8</f>
        <v>13373</v>
      </c>
      <c r="M8" s="24">
        <f aca="true" t="shared" si="1" ref="M8:M59">E8+F8</f>
        <v>0</v>
      </c>
      <c r="N8" s="24">
        <f aca="true" t="shared" si="2" ref="N8:N59">I8+J8</f>
        <v>13373</v>
      </c>
    </row>
    <row r="9" spans="1:14" s="3" customFormat="1" ht="14.25">
      <c r="A9" s="3">
        <f>A8+1</f>
        <v>2</v>
      </c>
      <c r="B9" s="148">
        <v>42867</v>
      </c>
      <c r="C9" s="149">
        <v>0</v>
      </c>
      <c r="D9" s="149">
        <v>0</v>
      </c>
      <c r="E9" s="77">
        <f>E8+C9</f>
        <v>0</v>
      </c>
      <c r="F9" s="77">
        <f>F8+D9</f>
        <v>0</v>
      </c>
      <c r="G9" s="122">
        <v>9206</v>
      </c>
      <c r="H9" s="122">
        <v>2441</v>
      </c>
      <c r="I9" s="25">
        <f>I8+G9</f>
        <v>20134</v>
      </c>
      <c r="J9" s="25">
        <f>J8+H9</f>
        <v>4886</v>
      </c>
      <c r="K9" s="25">
        <f t="shared" si="0"/>
        <v>0</v>
      </c>
      <c r="L9" s="25">
        <f aca="true" t="shared" si="3" ref="L9:L59">G9+H9</f>
        <v>11647</v>
      </c>
      <c r="M9" s="25">
        <f t="shared" si="1"/>
        <v>0</v>
      </c>
      <c r="N9" s="25">
        <f t="shared" si="2"/>
        <v>25020</v>
      </c>
    </row>
    <row r="10" spans="1:14" ht="14.25">
      <c r="A10" s="3">
        <f aca="true" t="shared" si="4" ref="A10:A59">A9+1</f>
        <v>3</v>
      </c>
      <c r="B10" s="148">
        <v>42874</v>
      </c>
      <c r="C10" s="149">
        <v>0</v>
      </c>
      <c r="D10" s="149">
        <v>0</v>
      </c>
      <c r="E10" s="77">
        <f aca="true" t="shared" si="5" ref="E10:E59">E9+C10</f>
        <v>0</v>
      </c>
      <c r="F10" s="77">
        <f aca="true" t="shared" si="6" ref="F10:F59">F9+D10</f>
        <v>0</v>
      </c>
      <c r="G10" s="122">
        <v>7276</v>
      </c>
      <c r="H10" s="122">
        <v>2678</v>
      </c>
      <c r="I10" s="25">
        <f aca="true" t="shared" si="7" ref="I10:I25">I9+G10</f>
        <v>27410</v>
      </c>
      <c r="J10" s="25">
        <f aca="true" t="shared" si="8" ref="J10:J45">J9+H10</f>
        <v>7564</v>
      </c>
      <c r="K10" s="25">
        <f t="shared" si="0"/>
        <v>0</v>
      </c>
      <c r="L10" s="25">
        <f t="shared" si="3"/>
        <v>9954</v>
      </c>
      <c r="M10" s="25">
        <f t="shared" si="1"/>
        <v>0</v>
      </c>
      <c r="N10" s="25">
        <f t="shared" si="2"/>
        <v>34974</v>
      </c>
    </row>
    <row r="11" spans="1:14" ht="14.25">
      <c r="A11" s="3">
        <f t="shared" si="4"/>
        <v>4</v>
      </c>
      <c r="B11" s="148">
        <v>42881</v>
      </c>
      <c r="C11" s="149">
        <v>0</v>
      </c>
      <c r="D11" s="149">
        <v>0</v>
      </c>
      <c r="E11" s="77">
        <f t="shared" si="5"/>
        <v>0</v>
      </c>
      <c r="F11" s="77">
        <f t="shared" si="6"/>
        <v>0</v>
      </c>
      <c r="G11" s="122">
        <v>10636</v>
      </c>
      <c r="H11" s="122">
        <v>3259</v>
      </c>
      <c r="I11" s="25">
        <f t="shared" si="7"/>
        <v>38046</v>
      </c>
      <c r="J11" s="25">
        <f t="shared" si="8"/>
        <v>10823</v>
      </c>
      <c r="K11" s="25">
        <f t="shared" si="0"/>
        <v>0</v>
      </c>
      <c r="L11" s="25">
        <f t="shared" si="3"/>
        <v>13895</v>
      </c>
      <c r="M11" s="25">
        <f t="shared" si="1"/>
        <v>0</v>
      </c>
      <c r="N11" s="25">
        <f t="shared" si="2"/>
        <v>48869</v>
      </c>
    </row>
    <row r="12" spans="1:14" ht="14.25">
      <c r="A12" s="3">
        <f t="shared" si="4"/>
        <v>5</v>
      </c>
      <c r="B12" s="148">
        <v>42888</v>
      </c>
      <c r="C12" s="149">
        <v>0</v>
      </c>
      <c r="D12" s="149">
        <v>0</v>
      </c>
      <c r="E12" s="77">
        <f t="shared" si="5"/>
        <v>0</v>
      </c>
      <c r="F12" s="77">
        <f t="shared" si="6"/>
        <v>0</v>
      </c>
      <c r="G12" s="122">
        <v>8722</v>
      </c>
      <c r="H12" s="122">
        <v>22088</v>
      </c>
      <c r="I12" s="25">
        <f t="shared" si="7"/>
        <v>46768</v>
      </c>
      <c r="J12" s="25">
        <f t="shared" si="8"/>
        <v>32911</v>
      </c>
      <c r="K12" s="25">
        <f t="shared" si="0"/>
        <v>0</v>
      </c>
      <c r="L12" s="25">
        <f t="shared" si="3"/>
        <v>30810</v>
      </c>
      <c r="M12" s="25">
        <f t="shared" si="1"/>
        <v>0</v>
      </c>
      <c r="N12" s="25">
        <f t="shared" si="2"/>
        <v>79679</v>
      </c>
    </row>
    <row r="13" spans="1:14" ht="14.25">
      <c r="A13" s="3">
        <f t="shared" si="4"/>
        <v>6</v>
      </c>
      <c r="B13" s="148">
        <v>42895</v>
      </c>
      <c r="C13" s="149">
        <v>0</v>
      </c>
      <c r="D13" s="149">
        <v>0</v>
      </c>
      <c r="E13" s="77">
        <f t="shared" si="5"/>
        <v>0</v>
      </c>
      <c r="F13" s="77">
        <f t="shared" si="6"/>
        <v>0</v>
      </c>
      <c r="G13" s="122">
        <v>5673</v>
      </c>
      <c r="H13" s="122">
        <v>67875</v>
      </c>
      <c r="I13" s="25">
        <f t="shared" si="7"/>
        <v>52441</v>
      </c>
      <c r="J13" s="25">
        <f t="shared" si="8"/>
        <v>100786</v>
      </c>
      <c r="K13" s="25">
        <f t="shared" si="0"/>
        <v>0</v>
      </c>
      <c r="L13" s="25">
        <f t="shared" si="3"/>
        <v>73548</v>
      </c>
      <c r="M13" s="25">
        <f t="shared" si="1"/>
        <v>0</v>
      </c>
      <c r="N13" s="25">
        <f t="shared" si="2"/>
        <v>153227</v>
      </c>
    </row>
    <row r="14" spans="1:14" ht="14.25">
      <c r="A14" s="3">
        <f t="shared" si="4"/>
        <v>7</v>
      </c>
      <c r="B14" s="148">
        <v>42902</v>
      </c>
      <c r="C14" s="149">
        <v>0</v>
      </c>
      <c r="D14" s="149">
        <v>0</v>
      </c>
      <c r="E14" s="77">
        <f t="shared" si="5"/>
        <v>0</v>
      </c>
      <c r="F14" s="77">
        <f t="shared" si="6"/>
        <v>0</v>
      </c>
      <c r="G14" s="122">
        <v>35279</v>
      </c>
      <c r="H14" s="122">
        <v>28659</v>
      </c>
      <c r="I14" s="25">
        <f t="shared" si="7"/>
        <v>87720</v>
      </c>
      <c r="J14" s="25">
        <f t="shared" si="8"/>
        <v>129445</v>
      </c>
      <c r="K14" s="25">
        <f t="shared" si="0"/>
        <v>0</v>
      </c>
      <c r="L14" s="25">
        <f t="shared" si="3"/>
        <v>63938</v>
      </c>
      <c r="M14" s="25">
        <f t="shared" si="1"/>
        <v>0</v>
      </c>
      <c r="N14" s="25">
        <f t="shared" si="2"/>
        <v>217165</v>
      </c>
    </row>
    <row r="15" spans="1:14" ht="14.25">
      <c r="A15" s="3">
        <f t="shared" si="4"/>
        <v>8</v>
      </c>
      <c r="B15" s="148">
        <v>42909</v>
      </c>
      <c r="C15" s="149">
        <v>0</v>
      </c>
      <c r="D15" s="149">
        <v>0</v>
      </c>
      <c r="E15" s="77">
        <f t="shared" si="5"/>
        <v>0</v>
      </c>
      <c r="F15" s="77">
        <f t="shared" si="6"/>
        <v>0</v>
      </c>
      <c r="G15" s="122">
        <v>44492</v>
      </c>
      <c r="H15" s="122">
        <v>42845</v>
      </c>
      <c r="I15" s="25">
        <f t="shared" si="7"/>
        <v>132212</v>
      </c>
      <c r="J15" s="25">
        <f t="shared" si="8"/>
        <v>172290</v>
      </c>
      <c r="K15" s="25">
        <f t="shared" si="0"/>
        <v>0</v>
      </c>
      <c r="L15" s="25">
        <f t="shared" si="3"/>
        <v>87337</v>
      </c>
      <c r="M15" s="25">
        <f t="shared" si="1"/>
        <v>0</v>
      </c>
      <c r="N15" s="25">
        <f t="shared" si="2"/>
        <v>304502</v>
      </c>
    </row>
    <row r="16" spans="1:14" ht="14.25">
      <c r="A16" s="3">
        <f t="shared" si="4"/>
        <v>9</v>
      </c>
      <c r="B16" s="148">
        <v>42916</v>
      </c>
      <c r="C16" s="149">
        <v>0</v>
      </c>
      <c r="D16" s="149">
        <v>0</v>
      </c>
      <c r="E16" s="77">
        <f t="shared" si="5"/>
        <v>0</v>
      </c>
      <c r="F16" s="77">
        <f t="shared" si="6"/>
        <v>0</v>
      </c>
      <c r="G16" s="122">
        <v>52456</v>
      </c>
      <c r="H16" s="122">
        <v>69459</v>
      </c>
      <c r="I16" s="25">
        <f t="shared" si="7"/>
        <v>184668</v>
      </c>
      <c r="J16" s="25">
        <f t="shared" si="8"/>
        <v>241749</v>
      </c>
      <c r="K16" s="25">
        <f t="shared" si="0"/>
        <v>0</v>
      </c>
      <c r="L16" s="25">
        <f t="shared" si="3"/>
        <v>121915</v>
      </c>
      <c r="M16" s="25">
        <f t="shared" si="1"/>
        <v>0</v>
      </c>
      <c r="N16" s="25">
        <f t="shared" si="2"/>
        <v>426417</v>
      </c>
    </row>
    <row r="17" spans="1:14" ht="14.25">
      <c r="A17" s="3">
        <f t="shared" si="4"/>
        <v>10</v>
      </c>
      <c r="B17" s="148">
        <v>42923</v>
      </c>
      <c r="C17" s="149">
        <v>0</v>
      </c>
      <c r="D17" s="149">
        <v>0</v>
      </c>
      <c r="E17" s="77">
        <f t="shared" si="5"/>
        <v>0</v>
      </c>
      <c r="F17" s="77">
        <f t="shared" si="6"/>
        <v>0</v>
      </c>
      <c r="G17" s="122">
        <v>8587</v>
      </c>
      <c r="H17" s="122">
        <v>23603</v>
      </c>
      <c r="I17" s="25">
        <f t="shared" si="7"/>
        <v>193255</v>
      </c>
      <c r="J17" s="25">
        <f t="shared" si="8"/>
        <v>265352</v>
      </c>
      <c r="K17" s="25">
        <f>C17+D17</f>
        <v>0</v>
      </c>
      <c r="L17" s="25">
        <f t="shared" si="3"/>
        <v>32190</v>
      </c>
      <c r="M17" s="25">
        <f t="shared" si="1"/>
        <v>0</v>
      </c>
      <c r="N17" s="25">
        <f t="shared" si="2"/>
        <v>458607</v>
      </c>
    </row>
    <row r="18" spans="1:14" ht="14.25">
      <c r="A18" s="3">
        <f t="shared" si="4"/>
        <v>11</v>
      </c>
      <c r="B18" s="148">
        <v>42930</v>
      </c>
      <c r="C18" s="149">
        <v>0</v>
      </c>
      <c r="D18" s="149">
        <v>0</v>
      </c>
      <c r="E18" s="77">
        <f t="shared" si="5"/>
        <v>0</v>
      </c>
      <c r="F18" s="77">
        <f t="shared" si="6"/>
        <v>0</v>
      </c>
      <c r="G18" s="122">
        <v>9724</v>
      </c>
      <c r="H18" s="122">
        <v>72835</v>
      </c>
      <c r="I18" s="25">
        <f t="shared" si="7"/>
        <v>202979</v>
      </c>
      <c r="J18" s="25">
        <f t="shared" si="8"/>
        <v>338187</v>
      </c>
      <c r="K18" s="25">
        <f t="shared" si="0"/>
        <v>0</v>
      </c>
      <c r="L18" s="25">
        <f t="shared" si="3"/>
        <v>82559</v>
      </c>
      <c r="M18" s="25">
        <f t="shared" si="1"/>
        <v>0</v>
      </c>
      <c r="N18" s="25">
        <f t="shared" si="2"/>
        <v>541166</v>
      </c>
    </row>
    <row r="19" spans="1:14" ht="14.25">
      <c r="A19" s="3">
        <f t="shared" si="4"/>
        <v>12</v>
      </c>
      <c r="B19" s="148">
        <v>42937</v>
      </c>
      <c r="C19" s="149">
        <v>0</v>
      </c>
      <c r="D19" s="149">
        <v>0</v>
      </c>
      <c r="E19" s="77">
        <f t="shared" si="5"/>
        <v>0</v>
      </c>
      <c r="F19" s="77">
        <f t="shared" si="6"/>
        <v>0</v>
      </c>
      <c r="G19" s="122">
        <v>80703</v>
      </c>
      <c r="H19" s="122">
        <v>71695</v>
      </c>
      <c r="I19" s="25">
        <f t="shared" si="7"/>
        <v>283682</v>
      </c>
      <c r="J19" s="25">
        <f t="shared" si="8"/>
        <v>409882</v>
      </c>
      <c r="K19" s="25">
        <f t="shared" si="0"/>
        <v>0</v>
      </c>
      <c r="L19" s="25">
        <f t="shared" si="3"/>
        <v>152398</v>
      </c>
      <c r="M19" s="25">
        <f t="shared" si="1"/>
        <v>0</v>
      </c>
      <c r="N19" s="25">
        <f t="shared" si="2"/>
        <v>693564</v>
      </c>
    </row>
    <row r="20" spans="1:14" ht="14.25">
      <c r="A20" s="3">
        <f t="shared" si="4"/>
        <v>13</v>
      </c>
      <c r="B20" s="148">
        <v>42944</v>
      </c>
      <c r="C20" s="149">
        <v>0</v>
      </c>
      <c r="D20" s="149">
        <v>0</v>
      </c>
      <c r="E20" s="77">
        <f t="shared" si="5"/>
        <v>0</v>
      </c>
      <c r="F20" s="77">
        <f t="shared" si="6"/>
        <v>0</v>
      </c>
      <c r="G20" s="122">
        <v>35546</v>
      </c>
      <c r="H20" s="122">
        <v>78525</v>
      </c>
      <c r="I20" s="25">
        <f t="shared" si="7"/>
        <v>319228</v>
      </c>
      <c r="J20" s="25">
        <f t="shared" si="8"/>
        <v>488407</v>
      </c>
      <c r="K20" s="25">
        <f t="shared" si="0"/>
        <v>0</v>
      </c>
      <c r="L20" s="25">
        <f t="shared" si="3"/>
        <v>114071</v>
      </c>
      <c r="M20" s="25">
        <f t="shared" si="1"/>
        <v>0</v>
      </c>
      <c r="N20" s="25">
        <f t="shared" si="2"/>
        <v>807635</v>
      </c>
    </row>
    <row r="21" spans="1:14" ht="14.25">
      <c r="A21" s="3">
        <f t="shared" si="4"/>
        <v>14</v>
      </c>
      <c r="B21" s="148">
        <v>42951</v>
      </c>
      <c r="C21" s="149">
        <v>0</v>
      </c>
      <c r="D21" s="149">
        <v>0</v>
      </c>
      <c r="E21" s="77">
        <f t="shared" si="5"/>
        <v>0</v>
      </c>
      <c r="F21" s="77">
        <f t="shared" si="6"/>
        <v>0</v>
      </c>
      <c r="G21" s="122">
        <v>6760</v>
      </c>
      <c r="H21" s="122">
        <v>56962</v>
      </c>
      <c r="I21" s="25">
        <f t="shared" si="7"/>
        <v>325988</v>
      </c>
      <c r="J21" s="25">
        <f t="shared" si="8"/>
        <v>545369</v>
      </c>
      <c r="K21" s="25">
        <f t="shared" si="0"/>
        <v>0</v>
      </c>
      <c r="L21" s="25">
        <f t="shared" si="3"/>
        <v>63722</v>
      </c>
      <c r="M21" s="25">
        <f t="shared" si="1"/>
        <v>0</v>
      </c>
      <c r="N21" s="25">
        <f t="shared" si="2"/>
        <v>871357</v>
      </c>
    </row>
    <row r="22" spans="1:14" ht="14.25">
      <c r="A22" s="3">
        <f t="shared" si="4"/>
        <v>15</v>
      </c>
      <c r="B22" s="148">
        <v>42958</v>
      </c>
      <c r="C22" s="149">
        <v>0</v>
      </c>
      <c r="D22" s="149">
        <v>0</v>
      </c>
      <c r="E22" s="77">
        <f t="shared" si="5"/>
        <v>0</v>
      </c>
      <c r="F22" s="77">
        <f t="shared" si="6"/>
        <v>0</v>
      </c>
      <c r="G22" s="122">
        <v>7182</v>
      </c>
      <c r="H22" s="122">
        <v>103573</v>
      </c>
      <c r="I22" s="25">
        <f t="shared" si="7"/>
        <v>333170</v>
      </c>
      <c r="J22" s="25">
        <f t="shared" si="8"/>
        <v>648942</v>
      </c>
      <c r="K22" s="25">
        <f t="shared" si="0"/>
        <v>0</v>
      </c>
      <c r="L22" s="25">
        <f t="shared" si="3"/>
        <v>110755</v>
      </c>
      <c r="M22" s="25">
        <f t="shared" si="1"/>
        <v>0</v>
      </c>
      <c r="N22" s="25">
        <f t="shared" si="2"/>
        <v>982112</v>
      </c>
    </row>
    <row r="23" spans="1:14" ht="14.25">
      <c r="A23" s="3">
        <f t="shared" si="4"/>
        <v>16</v>
      </c>
      <c r="B23" s="148">
        <v>42965</v>
      </c>
      <c r="C23" s="149">
        <v>0</v>
      </c>
      <c r="D23" s="149">
        <v>0</v>
      </c>
      <c r="E23" s="77">
        <f t="shared" si="5"/>
        <v>0</v>
      </c>
      <c r="F23" s="77">
        <f t="shared" si="6"/>
        <v>0</v>
      </c>
      <c r="G23" s="122">
        <v>11671</v>
      </c>
      <c r="H23" s="122">
        <v>59818</v>
      </c>
      <c r="I23" s="25">
        <f t="shared" si="7"/>
        <v>344841</v>
      </c>
      <c r="J23" s="25">
        <f t="shared" si="8"/>
        <v>708760</v>
      </c>
      <c r="K23" s="25">
        <f t="shared" si="0"/>
        <v>0</v>
      </c>
      <c r="L23" s="25">
        <f t="shared" si="3"/>
        <v>71489</v>
      </c>
      <c r="M23" s="25">
        <f t="shared" si="1"/>
        <v>0</v>
      </c>
      <c r="N23" s="25">
        <f t="shared" si="2"/>
        <v>1053601</v>
      </c>
    </row>
    <row r="24" spans="1:14" ht="14.25">
      <c r="A24" s="3">
        <f t="shared" si="4"/>
        <v>17</v>
      </c>
      <c r="B24" s="148">
        <v>42972</v>
      </c>
      <c r="C24" s="149">
        <v>0</v>
      </c>
      <c r="D24" s="149">
        <v>0</v>
      </c>
      <c r="E24" s="77">
        <f t="shared" si="5"/>
        <v>0</v>
      </c>
      <c r="F24" s="77">
        <f t="shared" si="6"/>
        <v>0</v>
      </c>
      <c r="G24" s="122">
        <v>11825</v>
      </c>
      <c r="H24" s="122">
        <v>25841</v>
      </c>
      <c r="I24" s="25">
        <f t="shared" si="7"/>
        <v>356666</v>
      </c>
      <c r="J24" s="25">
        <f t="shared" si="8"/>
        <v>734601</v>
      </c>
      <c r="K24" s="25">
        <f t="shared" si="0"/>
        <v>0</v>
      </c>
      <c r="L24" s="25">
        <f t="shared" si="3"/>
        <v>37666</v>
      </c>
      <c r="M24" s="25">
        <f t="shared" si="1"/>
        <v>0</v>
      </c>
      <c r="N24" s="25">
        <f t="shared" si="2"/>
        <v>1091267</v>
      </c>
    </row>
    <row r="25" spans="1:14" ht="14.25">
      <c r="A25" s="3">
        <f t="shared" si="4"/>
        <v>18</v>
      </c>
      <c r="B25" s="148">
        <v>42979</v>
      </c>
      <c r="C25" s="149">
        <v>0</v>
      </c>
      <c r="D25" s="149">
        <v>0</v>
      </c>
      <c r="E25" s="77">
        <f t="shared" si="5"/>
        <v>0</v>
      </c>
      <c r="F25" s="77">
        <f t="shared" si="6"/>
        <v>0</v>
      </c>
      <c r="G25" s="122">
        <v>27263</v>
      </c>
      <c r="H25" s="122">
        <v>55299</v>
      </c>
      <c r="I25" s="25">
        <f t="shared" si="7"/>
        <v>383929</v>
      </c>
      <c r="J25" s="25">
        <f t="shared" si="8"/>
        <v>789900</v>
      </c>
      <c r="K25" s="25">
        <f t="shared" si="0"/>
        <v>0</v>
      </c>
      <c r="L25" s="25">
        <f t="shared" si="3"/>
        <v>82562</v>
      </c>
      <c r="M25" s="25">
        <f t="shared" si="1"/>
        <v>0</v>
      </c>
      <c r="N25" s="25">
        <f t="shared" si="2"/>
        <v>1173829</v>
      </c>
    </row>
    <row r="26" spans="1:14" ht="14.25">
      <c r="A26" s="3">
        <f t="shared" si="4"/>
        <v>19</v>
      </c>
      <c r="B26" s="148">
        <v>42986</v>
      </c>
      <c r="C26" s="149">
        <v>0</v>
      </c>
      <c r="D26" s="149">
        <v>0</v>
      </c>
      <c r="E26" s="77">
        <f t="shared" si="5"/>
        <v>0</v>
      </c>
      <c r="F26" s="77">
        <f t="shared" si="6"/>
        <v>0</v>
      </c>
      <c r="G26" s="122">
        <v>6418</v>
      </c>
      <c r="H26" s="122">
        <v>2576</v>
      </c>
      <c r="I26" s="25">
        <f aca="true" t="shared" si="9" ref="I26:I41">I25+G26</f>
        <v>390347</v>
      </c>
      <c r="J26" s="25">
        <f t="shared" si="8"/>
        <v>792476</v>
      </c>
      <c r="K26" s="25">
        <f t="shared" si="0"/>
        <v>0</v>
      </c>
      <c r="L26" s="25">
        <f t="shared" si="3"/>
        <v>8994</v>
      </c>
      <c r="M26" s="25">
        <f t="shared" si="1"/>
        <v>0</v>
      </c>
      <c r="N26" s="25">
        <f t="shared" si="2"/>
        <v>1182823</v>
      </c>
    </row>
    <row r="27" spans="1:14" ht="14.25">
      <c r="A27" s="3">
        <f t="shared" si="4"/>
        <v>20</v>
      </c>
      <c r="B27" s="148">
        <v>42993</v>
      </c>
      <c r="C27" s="149">
        <v>0</v>
      </c>
      <c r="D27" s="149">
        <v>0</v>
      </c>
      <c r="E27" s="77">
        <f t="shared" si="5"/>
        <v>0</v>
      </c>
      <c r="F27" s="77">
        <f t="shared" si="6"/>
        <v>0</v>
      </c>
      <c r="G27" s="122">
        <v>30158</v>
      </c>
      <c r="H27" s="122">
        <v>14882</v>
      </c>
      <c r="I27" s="25">
        <f t="shared" si="9"/>
        <v>420505</v>
      </c>
      <c r="J27" s="25">
        <f t="shared" si="8"/>
        <v>807358</v>
      </c>
      <c r="K27" s="25" t="s">
        <v>99</v>
      </c>
      <c r="L27" s="25">
        <f t="shared" si="3"/>
        <v>45040</v>
      </c>
      <c r="M27" s="25">
        <f t="shared" si="1"/>
        <v>0</v>
      </c>
      <c r="N27" s="25">
        <f t="shared" si="2"/>
        <v>1227863</v>
      </c>
    </row>
    <row r="28" spans="1:14" ht="14.25">
      <c r="A28" s="3">
        <f t="shared" si="4"/>
        <v>21</v>
      </c>
      <c r="B28" s="148">
        <v>43000</v>
      </c>
      <c r="C28" s="149">
        <v>0</v>
      </c>
      <c r="D28" s="149">
        <v>0</v>
      </c>
      <c r="E28" s="77">
        <f t="shared" si="5"/>
        <v>0</v>
      </c>
      <c r="F28" s="77">
        <f t="shared" si="6"/>
        <v>0</v>
      </c>
      <c r="G28" s="124">
        <v>5754</v>
      </c>
      <c r="H28" s="124">
        <v>37505</v>
      </c>
      <c r="I28" s="25">
        <f t="shared" si="9"/>
        <v>426259</v>
      </c>
      <c r="J28" s="25">
        <f t="shared" si="8"/>
        <v>844863</v>
      </c>
      <c r="K28" s="25">
        <f t="shared" si="0"/>
        <v>0</v>
      </c>
      <c r="L28" s="25">
        <f t="shared" si="3"/>
        <v>43259</v>
      </c>
      <c r="M28" s="25">
        <f t="shared" si="1"/>
        <v>0</v>
      </c>
      <c r="N28" s="25">
        <f t="shared" si="2"/>
        <v>1271122</v>
      </c>
    </row>
    <row r="29" spans="1:14" ht="14.25">
      <c r="A29" s="3">
        <f t="shared" si="4"/>
        <v>22</v>
      </c>
      <c r="B29" s="148">
        <v>43007</v>
      </c>
      <c r="C29" s="149">
        <v>0</v>
      </c>
      <c r="D29" s="149">
        <v>0</v>
      </c>
      <c r="E29" s="77">
        <f t="shared" si="5"/>
        <v>0</v>
      </c>
      <c r="F29" s="77">
        <f t="shared" si="6"/>
        <v>0</v>
      </c>
      <c r="G29" s="124">
        <v>27282</v>
      </c>
      <c r="H29" s="124">
        <v>3280</v>
      </c>
      <c r="I29" s="25">
        <f t="shared" si="9"/>
        <v>453541</v>
      </c>
      <c r="J29" s="25">
        <f t="shared" si="8"/>
        <v>848143</v>
      </c>
      <c r="K29" s="59">
        <f t="shared" si="0"/>
        <v>0</v>
      </c>
      <c r="L29" s="25">
        <f t="shared" si="3"/>
        <v>30562</v>
      </c>
      <c r="M29" s="55">
        <f t="shared" si="1"/>
        <v>0</v>
      </c>
      <c r="N29" s="25">
        <f t="shared" si="2"/>
        <v>1301684</v>
      </c>
    </row>
    <row r="30" spans="1:16" ht="14.25">
      <c r="A30" s="3">
        <f t="shared" si="4"/>
        <v>23</v>
      </c>
      <c r="B30" s="148">
        <v>43014</v>
      </c>
      <c r="C30" s="149">
        <v>0</v>
      </c>
      <c r="D30" s="149">
        <v>0</v>
      </c>
      <c r="E30" s="77">
        <f t="shared" si="5"/>
        <v>0</v>
      </c>
      <c r="F30" s="77">
        <f t="shared" si="6"/>
        <v>0</v>
      </c>
      <c r="G30" s="124">
        <v>6904</v>
      </c>
      <c r="H30" s="124">
        <v>53804</v>
      </c>
      <c r="I30" s="25">
        <f t="shared" si="9"/>
        <v>460445</v>
      </c>
      <c r="J30" s="25">
        <f t="shared" si="8"/>
        <v>901947</v>
      </c>
      <c r="K30" s="26">
        <f t="shared" si="0"/>
        <v>0</v>
      </c>
      <c r="L30" s="25">
        <f t="shared" si="3"/>
        <v>60708</v>
      </c>
      <c r="M30" s="25">
        <f t="shared" si="1"/>
        <v>0</v>
      </c>
      <c r="N30" s="55">
        <f t="shared" si="2"/>
        <v>1362392</v>
      </c>
      <c r="P30" s="83" t="s">
        <v>88</v>
      </c>
    </row>
    <row r="31" spans="1:14" ht="14.25">
      <c r="A31" s="3">
        <f t="shared" si="4"/>
        <v>24</v>
      </c>
      <c r="B31" s="148">
        <v>43021</v>
      </c>
      <c r="C31" s="149">
        <v>0</v>
      </c>
      <c r="D31" s="149">
        <v>0</v>
      </c>
      <c r="E31" s="77">
        <f t="shared" si="5"/>
        <v>0</v>
      </c>
      <c r="F31" s="77">
        <f t="shared" si="6"/>
        <v>0</v>
      </c>
      <c r="G31" s="124">
        <v>6016</v>
      </c>
      <c r="H31" s="124">
        <v>4557</v>
      </c>
      <c r="I31" s="25">
        <f t="shared" si="9"/>
        <v>466461</v>
      </c>
      <c r="J31" s="25">
        <f t="shared" si="8"/>
        <v>906504</v>
      </c>
      <c r="K31" s="26">
        <f t="shared" si="0"/>
        <v>0</v>
      </c>
      <c r="L31" s="25">
        <f t="shared" si="3"/>
        <v>10573</v>
      </c>
      <c r="M31" s="25">
        <f t="shared" si="1"/>
        <v>0</v>
      </c>
      <c r="N31" s="55">
        <f t="shared" si="2"/>
        <v>1372965</v>
      </c>
    </row>
    <row r="32" spans="1:14" ht="14.25">
      <c r="A32" s="3">
        <f t="shared" si="4"/>
        <v>25</v>
      </c>
      <c r="B32" s="148">
        <v>43028</v>
      </c>
      <c r="C32" s="149">
        <v>0</v>
      </c>
      <c r="D32" s="149">
        <v>0</v>
      </c>
      <c r="E32" s="77">
        <f t="shared" si="5"/>
        <v>0</v>
      </c>
      <c r="F32" s="77">
        <f t="shared" si="6"/>
        <v>0</v>
      </c>
      <c r="G32" s="124">
        <v>8291</v>
      </c>
      <c r="H32" s="124">
        <v>2029</v>
      </c>
      <c r="I32" s="25">
        <f t="shared" si="9"/>
        <v>474752</v>
      </c>
      <c r="J32" s="25">
        <f t="shared" si="8"/>
        <v>908533</v>
      </c>
      <c r="K32" s="26">
        <f t="shared" si="0"/>
        <v>0</v>
      </c>
      <c r="L32" s="25">
        <f t="shared" si="3"/>
        <v>10320</v>
      </c>
      <c r="M32" s="25">
        <f t="shared" si="1"/>
        <v>0</v>
      </c>
      <c r="N32" s="55">
        <f t="shared" si="2"/>
        <v>1383285</v>
      </c>
    </row>
    <row r="33" spans="1:14" ht="14.25">
      <c r="A33" s="3">
        <f t="shared" si="4"/>
        <v>26</v>
      </c>
      <c r="B33" s="148">
        <v>43035</v>
      </c>
      <c r="C33" s="149">
        <v>0</v>
      </c>
      <c r="D33" s="149">
        <v>0</v>
      </c>
      <c r="E33" s="77">
        <f t="shared" si="5"/>
        <v>0</v>
      </c>
      <c r="F33" s="77">
        <f t="shared" si="6"/>
        <v>0</v>
      </c>
      <c r="G33" s="124">
        <v>8841</v>
      </c>
      <c r="H33" s="124">
        <v>59100</v>
      </c>
      <c r="I33" s="25">
        <f t="shared" si="9"/>
        <v>483593</v>
      </c>
      <c r="J33" s="25">
        <f t="shared" si="8"/>
        <v>967633</v>
      </c>
      <c r="K33" s="26">
        <f>C33+D33</f>
        <v>0</v>
      </c>
      <c r="L33" s="25">
        <f t="shared" si="3"/>
        <v>67941</v>
      </c>
      <c r="M33" s="25">
        <f t="shared" si="1"/>
        <v>0</v>
      </c>
      <c r="N33" s="55">
        <f t="shared" si="2"/>
        <v>1451226</v>
      </c>
    </row>
    <row r="34" spans="1:14" ht="14.25">
      <c r="A34" s="3">
        <f t="shared" si="4"/>
        <v>27</v>
      </c>
      <c r="B34" s="148">
        <v>43042</v>
      </c>
      <c r="C34" s="149">
        <v>0</v>
      </c>
      <c r="D34" s="149">
        <v>0</v>
      </c>
      <c r="E34" s="77">
        <f t="shared" si="5"/>
        <v>0</v>
      </c>
      <c r="F34" s="77">
        <f t="shared" si="6"/>
        <v>0</v>
      </c>
      <c r="G34" s="124">
        <v>5658</v>
      </c>
      <c r="H34" s="124">
        <v>10419</v>
      </c>
      <c r="I34" s="25">
        <f t="shared" si="9"/>
        <v>489251</v>
      </c>
      <c r="J34" s="25">
        <f t="shared" si="8"/>
        <v>978052</v>
      </c>
      <c r="K34" s="26">
        <f t="shared" si="0"/>
        <v>0</v>
      </c>
      <c r="L34" s="25">
        <f t="shared" si="3"/>
        <v>16077</v>
      </c>
      <c r="M34" s="25">
        <f t="shared" si="1"/>
        <v>0</v>
      </c>
      <c r="N34" s="55">
        <f t="shared" si="2"/>
        <v>1467303</v>
      </c>
    </row>
    <row r="35" spans="1:14" ht="14.25">
      <c r="A35" s="3">
        <f t="shared" si="4"/>
        <v>28</v>
      </c>
      <c r="B35" s="148">
        <v>43049</v>
      </c>
      <c r="C35" s="149">
        <v>0</v>
      </c>
      <c r="D35" s="149">
        <v>0</v>
      </c>
      <c r="E35" s="77">
        <f t="shared" si="5"/>
        <v>0</v>
      </c>
      <c r="F35" s="77">
        <f t="shared" si="6"/>
        <v>0</v>
      </c>
      <c r="G35" s="124">
        <v>7546</v>
      </c>
      <c r="H35" s="124">
        <v>50936</v>
      </c>
      <c r="I35" s="25">
        <f t="shared" si="9"/>
        <v>496797</v>
      </c>
      <c r="J35" s="25">
        <f t="shared" si="8"/>
        <v>1028988</v>
      </c>
      <c r="K35" s="26">
        <f t="shared" si="0"/>
        <v>0</v>
      </c>
      <c r="L35" s="25">
        <f t="shared" si="3"/>
        <v>58482</v>
      </c>
      <c r="M35" s="25">
        <f t="shared" si="1"/>
        <v>0</v>
      </c>
      <c r="N35" s="55">
        <f t="shared" si="2"/>
        <v>1525785</v>
      </c>
    </row>
    <row r="36" spans="1:14" ht="14.25">
      <c r="A36" s="3">
        <f t="shared" si="4"/>
        <v>29</v>
      </c>
      <c r="B36" s="148">
        <v>43056</v>
      </c>
      <c r="C36" s="149">
        <v>0</v>
      </c>
      <c r="D36" s="149">
        <v>0</v>
      </c>
      <c r="E36" s="77">
        <f t="shared" si="5"/>
        <v>0</v>
      </c>
      <c r="F36" s="77">
        <f t="shared" si="6"/>
        <v>0</v>
      </c>
      <c r="G36" s="124">
        <v>8099</v>
      </c>
      <c r="H36" s="124">
        <v>3560</v>
      </c>
      <c r="I36" s="25">
        <f t="shared" si="9"/>
        <v>504896</v>
      </c>
      <c r="J36" s="25">
        <f t="shared" si="8"/>
        <v>1032548</v>
      </c>
      <c r="K36" s="26">
        <f t="shared" si="0"/>
        <v>0</v>
      </c>
      <c r="L36" s="25">
        <f t="shared" si="3"/>
        <v>11659</v>
      </c>
      <c r="M36" s="25">
        <f t="shared" si="1"/>
        <v>0</v>
      </c>
      <c r="N36" s="55">
        <f t="shared" si="2"/>
        <v>1537444</v>
      </c>
    </row>
    <row r="37" spans="1:14" ht="14.25">
      <c r="A37" s="3">
        <f t="shared" si="4"/>
        <v>30</v>
      </c>
      <c r="B37" s="148">
        <v>43063</v>
      </c>
      <c r="C37" s="149">
        <v>0</v>
      </c>
      <c r="D37" s="149">
        <v>0</v>
      </c>
      <c r="E37" s="77">
        <f t="shared" si="5"/>
        <v>0</v>
      </c>
      <c r="F37" s="77">
        <f t="shared" si="6"/>
        <v>0</v>
      </c>
      <c r="G37" s="124">
        <v>8249</v>
      </c>
      <c r="H37" s="124">
        <v>26548</v>
      </c>
      <c r="I37" s="25">
        <f t="shared" si="9"/>
        <v>513145</v>
      </c>
      <c r="J37" s="25">
        <f t="shared" si="8"/>
        <v>1059096</v>
      </c>
      <c r="K37" s="26">
        <f t="shared" si="0"/>
        <v>0</v>
      </c>
      <c r="L37" s="25">
        <f t="shared" si="3"/>
        <v>34797</v>
      </c>
      <c r="M37" s="25">
        <f t="shared" si="1"/>
        <v>0</v>
      </c>
      <c r="N37" s="55">
        <f t="shared" si="2"/>
        <v>1572241</v>
      </c>
    </row>
    <row r="38" spans="1:14" ht="14.25">
      <c r="A38" s="3">
        <f t="shared" si="4"/>
        <v>31</v>
      </c>
      <c r="B38" s="148">
        <v>43070</v>
      </c>
      <c r="C38" s="149">
        <v>0</v>
      </c>
      <c r="D38" s="149">
        <v>0</v>
      </c>
      <c r="E38" s="77">
        <f t="shared" si="5"/>
        <v>0</v>
      </c>
      <c r="F38" s="77">
        <f t="shared" si="6"/>
        <v>0</v>
      </c>
      <c r="G38" s="124">
        <v>4884</v>
      </c>
      <c r="H38" s="124">
        <v>58459</v>
      </c>
      <c r="I38" s="25">
        <f t="shared" si="9"/>
        <v>518029</v>
      </c>
      <c r="J38" s="25">
        <f t="shared" si="8"/>
        <v>1117555</v>
      </c>
      <c r="K38" s="26">
        <f t="shared" si="0"/>
        <v>0</v>
      </c>
      <c r="L38" s="25">
        <f t="shared" si="3"/>
        <v>63343</v>
      </c>
      <c r="M38" s="25">
        <f t="shared" si="1"/>
        <v>0</v>
      </c>
      <c r="N38" s="55">
        <f t="shared" si="2"/>
        <v>1635584</v>
      </c>
    </row>
    <row r="39" spans="1:14" ht="14.25">
      <c r="A39" s="3">
        <f t="shared" si="4"/>
        <v>32</v>
      </c>
      <c r="B39" s="148">
        <v>43077</v>
      </c>
      <c r="C39" s="149">
        <v>0</v>
      </c>
      <c r="D39" s="149">
        <v>0</v>
      </c>
      <c r="E39" s="77">
        <f t="shared" si="5"/>
        <v>0</v>
      </c>
      <c r="F39" s="77">
        <f t="shared" si="6"/>
        <v>0</v>
      </c>
      <c r="G39" s="196">
        <v>5507</v>
      </c>
      <c r="H39" s="196">
        <v>42875</v>
      </c>
      <c r="I39" s="25">
        <f t="shared" si="9"/>
        <v>523536</v>
      </c>
      <c r="J39" s="25">
        <f t="shared" si="8"/>
        <v>1160430</v>
      </c>
      <c r="K39" s="26">
        <f t="shared" si="0"/>
        <v>0</v>
      </c>
      <c r="L39" s="25">
        <f t="shared" si="3"/>
        <v>48382</v>
      </c>
      <c r="M39" s="25">
        <f t="shared" si="1"/>
        <v>0</v>
      </c>
      <c r="N39" s="55">
        <f t="shared" si="2"/>
        <v>1683966</v>
      </c>
    </row>
    <row r="40" spans="1:14" ht="14.25">
      <c r="A40" s="3">
        <f t="shared" si="4"/>
        <v>33</v>
      </c>
      <c r="B40" s="148">
        <v>43084</v>
      </c>
      <c r="C40" s="149">
        <v>0</v>
      </c>
      <c r="D40" s="149">
        <v>0</v>
      </c>
      <c r="E40" s="77">
        <f t="shared" si="5"/>
        <v>0</v>
      </c>
      <c r="F40" s="77">
        <f t="shared" si="6"/>
        <v>0</v>
      </c>
      <c r="G40" s="149">
        <v>0</v>
      </c>
      <c r="H40" s="149">
        <v>0</v>
      </c>
      <c r="I40" s="25">
        <f t="shared" si="9"/>
        <v>523536</v>
      </c>
      <c r="J40" s="25">
        <f t="shared" si="8"/>
        <v>1160430</v>
      </c>
      <c r="K40" s="26">
        <f t="shared" si="0"/>
        <v>0</v>
      </c>
      <c r="L40" s="25">
        <f t="shared" si="3"/>
        <v>0</v>
      </c>
      <c r="M40" s="25">
        <f t="shared" si="1"/>
        <v>0</v>
      </c>
      <c r="N40" s="55">
        <f t="shared" si="2"/>
        <v>1683966</v>
      </c>
    </row>
    <row r="41" spans="1:14" ht="14.25">
      <c r="A41" s="3">
        <f t="shared" si="4"/>
        <v>34</v>
      </c>
      <c r="B41" s="148">
        <v>43091</v>
      </c>
      <c r="C41" s="149">
        <v>0</v>
      </c>
      <c r="D41" s="149">
        <v>0</v>
      </c>
      <c r="E41" s="77">
        <f t="shared" si="5"/>
        <v>0</v>
      </c>
      <c r="F41" s="77">
        <f t="shared" si="6"/>
        <v>0</v>
      </c>
      <c r="G41" s="149">
        <v>0</v>
      </c>
      <c r="H41" s="149">
        <v>0</v>
      </c>
      <c r="I41" s="25">
        <f t="shared" si="9"/>
        <v>523536</v>
      </c>
      <c r="J41" s="25">
        <f t="shared" si="8"/>
        <v>1160430</v>
      </c>
      <c r="K41" s="26">
        <f t="shared" si="0"/>
        <v>0</v>
      </c>
      <c r="L41" s="25">
        <f t="shared" si="3"/>
        <v>0</v>
      </c>
      <c r="M41" s="25">
        <f t="shared" si="1"/>
        <v>0</v>
      </c>
      <c r="N41" s="55">
        <f t="shared" si="2"/>
        <v>1683966</v>
      </c>
    </row>
    <row r="42" spans="1:14" ht="14.25">
      <c r="A42" s="3">
        <f t="shared" si="4"/>
        <v>35</v>
      </c>
      <c r="B42" s="148">
        <v>43098</v>
      </c>
      <c r="C42" s="149">
        <v>0</v>
      </c>
      <c r="D42" s="149">
        <v>0</v>
      </c>
      <c r="E42" s="77">
        <f t="shared" si="5"/>
        <v>0</v>
      </c>
      <c r="F42" s="77">
        <f t="shared" si="6"/>
        <v>0</v>
      </c>
      <c r="G42" s="149">
        <v>19897</v>
      </c>
      <c r="H42" s="149">
        <v>47797</v>
      </c>
      <c r="I42" s="25">
        <f aca="true" t="shared" si="10" ref="I42:J58">I41+G42</f>
        <v>543433</v>
      </c>
      <c r="J42" s="25">
        <f t="shared" si="8"/>
        <v>1208227</v>
      </c>
      <c r="K42" s="26">
        <f t="shared" si="0"/>
        <v>0</v>
      </c>
      <c r="L42" s="25">
        <f t="shared" si="3"/>
        <v>67694</v>
      </c>
      <c r="M42" s="25">
        <f t="shared" si="1"/>
        <v>0</v>
      </c>
      <c r="N42" s="55">
        <f t="shared" si="2"/>
        <v>1751660</v>
      </c>
    </row>
    <row r="43" spans="1:14" ht="14.25">
      <c r="A43" s="3">
        <f t="shared" si="4"/>
        <v>36</v>
      </c>
      <c r="B43" s="148">
        <v>43105</v>
      </c>
      <c r="C43" s="149">
        <v>0</v>
      </c>
      <c r="D43" s="149">
        <v>0</v>
      </c>
      <c r="E43" s="77">
        <f t="shared" si="5"/>
        <v>0</v>
      </c>
      <c r="F43" s="77">
        <f t="shared" si="6"/>
        <v>0</v>
      </c>
      <c r="G43" s="124">
        <v>3243</v>
      </c>
      <c r="H43" s="121">
        <v>2084</v>
      </c>
      <c r="I43" s="25">
        <f t="shared" si="10"/>
        <v>546676</v>
      </c>
      <c r="J43" s="25">
        <f t="shared" si="8"/>
        <v>1210311</v>
      </c>
      <c r="K43" s="26">
        <f t="shared" si="0"/>
        <v>0</v>
      </c>
      <c r="L43" s="25">
        <f t="shared" si="3"/>
        <v>5327</v>
      </c>
      <c r="M43" s="25">
        <f t="shared" si="1"/>
        <v>0</v>
      </c>
      <c r="N43" s="55">
        <f t="shared" si="2"/>
        <v>1756987</v>
      </c>
    </row>
    <row r="44" spans="1:14" ht="14.25">
      <c r="A44" s="3">
        <f t="shared" si="4"/>
        <v>37</v>
      </c>
      <c r="B44" s="148">
        <v>43112</v>
      </c>
      <c r="C44" s="149">
        <v>0</v>
      </c>
      <c r="D44" s="149">
        <v>0</v>
      </c>
      <c r="E44" s="77">
        <f t="shared" si="5"/>
        <v>0</v>
      </c>
      <c r="F44" s="77">
        <f t="shared" si="6"/>
        <v>0</v>
      </c>
      <c r="G44" s="124">
        <v>4780</v>
      </c>
      <c r="H44" s="121">
        <v>44177</v>
      </c>
      <c r="I44" s="25">
        <f t="shared" si="10"/>
        <v>551456</v>
      </c>
      <c r="J44" s="25">
        <f t="shared" si="8"/>
        <v>1254488</v>
      </c>
      <c r="K44" s="26">
        <f t="shared" si="0"/>
        <v>0</v>
      </c>
      <c r="L44" s="25">
        <f t="shared" si="3"/>
        <v>48957</v>
      </c>
      <c r="M44" s="25">
        <f t="shared" si="1"/>
        <v>0</v>
      </c>
      <c r="N44" s="55">
        <f t="shared" si="2"/>
        <v>1805944</v>
      </c>
    </row>
    <row r="45" spans="1:14" ht="14.25">
      <c r="A45" s="3">
        <f t="shared" si="4"/>
        <v>38</v>
      </c>
      <c r="B45" s="148">
        <v>43119</v>
      </c>
      <c r="C45" s="149">
        <v>0</v>
      </c>
      <c r="D45" s="149">
        <v>0</v>
      </c>
      <c r="E45" s="77">
        <f t="shared" si="5"/>
        <v>0</v>
      </c>
      <c r="F45" s="77">
        <f t="shared" si="6"/>
        <v>0</v>
      </c>
      <c r="G45" s="124">
        <v>7451</v>
      </c>
      <c r="H45" s="121">
        <v>13536</v>
      </c>
      <c r="I45" s="25">
        <f t="shared" si="10"/>
        <v>558907</v>
      </c>
      <c r="J45" s="25">
        <f t="shared" si="8"/>
        <v>1268024</v>
      </c>
      <c r="K45" s="26">
        <f t="shared" si="0"/>
        <v>0</v>
      </c>
      <c r="L45" s="25">
        <f t="shared" si="3"/>
        <v>20987</v>
      </c>
      <c r="M45" s="25">
        <f t="shared" si="1"/>
        <v>0</v>
      </c>
      <c r="N45" s="55">
        <f t="shared" si="2"/>
        <v>1826931</v>
      </c>
    </row>
    <row r="46" spans="1:14" ht="14.25">
      <c r="A46" s="3">
        <f t="shared" si="4"/>
        <v>39</v>
      </c>
      <c r="B46" s="148">
        <v>43126</v>
      </c>
      <c r="C46" s="149">
        <v>0</v>
      </c>
      <c r="D46" s="149">
        <v>0</v>
      </c>
      <c r="E46" s="77">
        <f t="shared" si="5"/>
        <v>0</v>
      </c>
      <c r="F46" s="77">
        <f t="shared" si="6"/>
        <v>0</v>
      </c>
      <c r="G46" s="124">
        <v>10362</v>
      </c>
      <c r="H46" s="121">
        <v>3858</v>
      </c>
      <c r="I46" s="25">
        <f t="shared" si="10"/>
        <v>569269</v>
      </c>
      <c r="J46" s="25">
        <f t="shared" si="10"/>
        <v>1271882</v>
      </c>
      <c r="K46" s="26">
        <f t="shared" si="0"/>
        <v>0</v>
      </c>
      <c r="L46" s="25">
        <f t="shared" si="3"/>
        <v>14220</v>
      </c>
      <c r="M46" s="25">
        <f t="shared" si="1"/>
        <v>0</v>
      </c>
      <c r="N46" s="55">
        <f t="shared" si="2"/>
        <v>1841151</v>
      </c>
    </row>
    <row r="47" spans="1:14" ht="14.25">
      <c r="A47" s="3">
        <f t="shared" si="4"/>
        <v>40</v>
      </c>
      <c r="B47" s="148">
        <v>43133</v>
      </c>
      <c r="C47" s="149">
        <v>0</v>
      </c>
      <c r="D47" s="149">
        <v>0</v>
      </c>
      <c r="E47" s="77">
        <f t="shared" si="5"/>
        <v>0</v>
      </c>
      <c r="F47" s="77">
        <f t="shared" si="6"/>
        <v>0</v>
      </c>
      <c r="G47" s="124">
        <v>6481</v>
      </c>
      <c r="H47" s="121">
        <v>45112</v>
      </c>
      <c r="I47" s="25">
        <f t="shared" si="10"/>
        <v>575750</v>
      </c>
      <c r="J47" s="25">
        <f t="shared" si="10"/>
        <v>1316994</v>
      </c>
      <c r="K47" s="26">
        <f t="shared" si="0"/>
        <v>0</v>
      </c>
      <c r="L47" s="25">
        <f t="shared" si="3"/>
        <v>51593</v>
      </c>
      <c r="M47" s="25">
        <f t="shared" si="1"/>
        <v>0</v>
      </c>
      <c r="N47" s="55">
        <f t="shared" si="2"/>
        <v>1892744</v>
      </c>
    </row>
    <row r="48" spans="1:14" ht="14.25">
      <c r="A48" s="3">
        <f t="shared" si="4"/>
        <v>41</v>
      </c>
      <c r="B48" s="148">
        <v>43140</v>
      </c>
      <c r="C48" s="149">
        <v>0</v>
      </c>
      <c r="D48" s="149">
        <v>0</v>
      </c>
      <c r="E48" s="77">
        <f t="shared" si="5"/>
        <v>0</v>
      </c>
      <c r="F48" s="77">
        <f t="shared" si="6"/>
        <v>0</v>
      </c>
      <c r="G48" s="124">
        <v>7005</v>
      </c>
      <c r="H48" s="121">
        <v>22387</v>
      </c>
      <c r="I48" s="25">
        <f t="shared" si="10"/>
        <v>582755</v>
      </c>
      <c r="J48" s="25">
        <f t="shared" si="10"/>
        <v>1339381</v>
      </c>
      <c r="K48" s="26">
        <f t="shared" si="0"/>
        <v>0</v>
      </c>
      <c r="L48" s="25">
        <f t="shared" si="3"/>
        <v>29392</v>
      </c>
      <c r="M48" s="25">
        <f t="shared" si="1"/>
        <v>0</v>
      </c>
      <c r="N48" s="55">
        <f t="shared" si="2"/>
        <v>1922136</v>
      </c>
    </row>
    <row r="49" spans="1:14" ht="14.25">
      <c r="A49" s="3">
        <f t="shared" si="4"/>
        <v>42</v>
      </c>
      <c r="B49" s="148">
        <v>43147</v>
      </c>
      <c r="C49" s="149">
        <v>0</v>
      </c>
      <c r="D49" s="149">
        <v>0</v>
      </c>
      <c r="E49" s="77">
        <f t="shared" si="5"/>
        <v>0</v>
      </c>
      <c r="F49" s="77">
        <f t="shared" si="6"/>
        <v>0</v>
      </c>
      <c r="G49" s="124">
        <v>8054</v>
      </c>
      <c r="H49" s="121">
        <v>31688</v>
      </c>
      <c r="I49" s="25">
        <f t="shared" si="10"/>
        <v>590809</v>
      </c>
      <c r="J49" s="25">
        <f t="shared" si="10"/>
        <v>1371069</v>
      </c>
      <c r="K49" s="26">
        <f t="shared" si="0"/>
        <v>0</v>
      </c>
      <c r="L49" s="25">
        <f t="shared" si="3"/>
        <v>39742</v>
      </c>
      <c r="M49" s="25">
        <f t="shared" si="1"/>
        <v>0</v>
      </c>
      <c r="N49" s="55">
        <f t="shared" si="2"/>
        <v>1961878</v>
      </c>
    </row>
    <row r="50" spans="1:14" ht="14.25">
      <c r="A50" s="3">
        <f t="shared" si="4"/>
        <v>43</v>
      </c>
      <c r="B50" s="148">
        <v>43154</v>
      </c>
      <c r="C50" s="149">
        <v>0</v>
      </c>
      <c r="D50" s="149">
        <v>0</v>
      </c>
      <c r="E50" s="77">
        <f t="shared" si="5"/>
        <v>0</v>
      </c>
      <c r="F50" s="77">
        <f t="shared" si="6"/>
        <v>0</v>
      </c>
      <c r="G50" s="124">
        <v>9616</v>
      </c>
      <c r="H50" s="121">
        <v>16170</v>
      </c>
      <c r="I50" s="25">
        <f t="shared" si="10"/>
        <v>600425</v>
      </c>
      <c r="J50" s="25">
        <f t="shared" si="10"/>
        <v>1387239</v>
      </c>
      <c r="K50" s="26">
        <f>C50+D50</f>
        <v>0</v>
      </c>
      <c r="L50" s="25">
        <f t="shared" si="3"/>
        <v>25786</v>
      </c>
      <c r="M50" s="25">
        <f t="shared" si="1"/>
        <v>0</v>
      </c>
      <c r="N50" s="55">
        <f t="shared" si="2"/>
        <v>1987664</v>
      </c>
    </row>
    <row r="51" spans="1:14" ht="14.25">
      <c r="A51" s="3">
        <f t="shared" si="4"/>
        <v>44</v>
      </c>
      <c r="B51" s="148">
        <v>43161</v>
      </c>
      <c r="C51" s="149">
        <v>0</v>
      </c>
      <c r="D51" s="149">
        <v>0</v>
      </c>
      <c r="E51" s="77">
        <f t="shared" si="5"/>
        <v>0</v>
      </c>
      <c r="F51" s="77">
        <f t="shared" si="6"/>
        <v>0</v>
      </c>
      <c r="G51" s="124">
        <v>9487</v>
      </c>
      <c r="H51" s="121">
        <v>5185</v>
      </c>
      <c r="I51" s="25">
        <f t="shared" si="10"/>
        <v>609912</v>
      </c>
      <c r="J51" s="25">
        <f t="shared" si="10"/>
        <v>1392424</v>
      </c>
      <c r="K51" s="26">
        <f>C51+D51</f>
        <v>0</v>
      </c>
      <c r="L51" s="25">
        <f t="shared" si="3"/>
        <v>14672</v>
      </c>
      <c r="M51" s="25">
        <f t="shared" si="1"/>
        <v>0</v>
      </c>
      <c r="N51" s="55">
        <f t="shared" si="2"/>
        <v>2002336</v>
      </c>
    </row>
    <row r="52" spans="1:14" ht="14.25">
      <c r="A52" s="3">
        <f t="shared" si="4"/>
        <v>45</v>
      </c>
      <c r="B52" s="148">
        <v>43168</v>
      </c>
      <c r="C52" s="149">
        <v>0</v>
      </c>
      <c r="D52" s="149">
        <v>0</v>
      </c>
      <c r="E52" s="77">
        <f t="shared" si="5"/>
        <v>0</v>
      </c>
      <c r="F52" s="77">
        <f t="shared" si="6"/>
        <v>0</v>
      </c>
      <c r="G52" s="124">
        <v>9512</v>
      </c>
      <c r="H52" s="121">
        <v>4498</v>
      </c>
      <c r="I52" s="25">
        <f t="shared" si="10"/>
        <v>619424</v>
      </c>
      <c r="J52" s="25">
        <f t="shared" si="10"/>
        <v>1396922</v>
      </c>
      <c r="K52" s="26">
        <f t="shared" si="0"/>
        <v>0</v>
      </c>
      <c r="L52" s="25">
        <f t="shared" si="3"/>
        <v>14010</v>
      </c>
      <c r="M52" s="25">
        <f t="shared" si="1"/>
        <v>0</v>
      </c>
      <c r="N52" s="55">
        <f t="shared" si="2"/>
        <v>2016346</v>
      </c>
    </row>
    <row r="53" spans="1:14" ht="14.25">
      <c r="A53" s="3">
        <f t="shared" si="4"/>
        <v>46</v>
      </c>
      <c r="B53" s="148"/>
      <c r="C53" s="149"/>
      <c r="D53" s="149"/>
      <c r="E53" s="77">
        <f t="shared" si="5"/>
        <v>0</v>
      </c>
      <c r="F53" s="77">
        <f t="shared" si="6"/>
        <v>0</v>
      </c>
      <c r="G53" s="124"/>
      <c r="H53" s="121"/>
      <c r="I53" s="25">
        <f t="shared" si="10"/>
        <v>619424</v>
      </c>
      <c r="J53" s="25">
        <f t="shared" si="10"/>
        <v>1396922</v>
      </c>
      <c r="K53" s="26">
        <f t="shared" si="0"/>
        <v>0</v>
      </c>
      <c r="L53" s="25">
        <f t="shared" si="3"/>
        <v>0</v>
      </c>
      <c r="M53" s="25">
        <f t="shared" si="1"/>
        <v>0</v>
      </c>
      <c r="N53" s="55">
        <f t="shared" si="2"/>
        <v>2016346</v>
      </c>
    </row>
    <row r="54" spans="1:14" ht="14.25">
      <c r="A54" s="3">
        <f t="shared" si="4"/>
        <v>47</v>
      </c>
      <c r="B54" s="148"/>
      <c r="C54" s="149"/>
      <c r="D54" s="149"/>
      <c r="E54" s="77">
        <f t="shared" si="5"/>
        <v>0</v>
      </c>
      <c r="F54" s="77">
        <f t="shared" si="6"/>
        <v>0</v>
      </c>
      <c r="G54" s="124"/>
      <c r="H54" s="121"/>
      <c r="I54" s="25">
        <f t="shared" si="10"/>
        <v>619424</v>
      </c>
      <c r="J54" s="25">
        <f t="shared" si="10"/>
        <v>1396922</v>
      </c>
      <c r="K54" s="26">
        <f t="shared" si="0"/>
        <v>0</v>
      </c>
      <c r="L54" s="25">
        <f t="shared" si="3"/>
        <v>0</v>
      </c>
      <c r="M54" s="25">
        <f t="shared" si="1"/>
        <v>0</v>
      </c>
      <c r="N54" s="55">
        <f t="shared" si="2"/>
        <v>2016346</v>
      </c>
    </row>
    <row r="55" spans="1:14" ht="14.25">
      <c r="A55" s="3">
        <f t="shared" si="4"/>
        <v>48</v>
      </c>
      <c r="B55" s="148"/>
      <c r="C55" s="149"/>
      <c r="D55" s="149"/>
      <c r="E55" s="77">
        <f t="shared" si="5"/>
        <v>0</v>
      </c>
      <c r="F55" s="77">
        <f t="shared" si="6"/>
        <v>0</v>
      </c>
      <c r="G55" s="124"/>
      <c r="H55" s="121"/>
      <c r="I55" s="25">
        <f t="shared" si="10"/>
        <v>619424</v>
      </c>
      <c r="J55" s="25">
        <f t="shared" si="10"/>
        <v>1396922</v>
      </c>
      <c r="K55" s="26">
        <f t="shared" si="0"/>
        <v>0</v>
      </c>
      <c r="L55" s="25">
        <f t="shared" si="3"/>
        <v>0</v>
      </c>
      <c r="M55" s="25">
        <f t="shared" si="1"/>
        <v>0</v>
      </c>
      <c r="N55" s="55">
        <f t="shared" si="2"/>
        <v>2016346</v>
      </c>
    </row>
    <row r="56" spans="1:14" ht="14.25">
      <c r="A56" s="3">
        <f t="shared" si="4"/>
        <v>49</v>
      </c>
      <c r="B56" s="148"/>
      <c r="C56" s="149"/>
      <c r="D56" s="149"/>
      <c r="E56" s="77">
        <f t="shared" si="5"/>
        <v>0</v>
      </c>
      <c r="F56" s="77">
        <f t="shared" si="6"/>
        <v>0</v>
      </c>
      <c r="G56" s="124"/>
      <c r="H56" s="121"/>
      <c r="I56" s="25">
        <f t="shared" si="10"/>
        <v>619424</v>
      </c>
      <c r="J56" s="25">
        <f t="shared" si="10"/>
        <v>1396922</v>
      </c>
      <c r="K56" s="26">
        <f t="shared" si="0"/>
        <v>0</v>
      </c>
      <c r="L56" s="25">
        <f t="shared" si="3"/>
        <v>0</v>
      </c>
      <c r="M56" s="25">
        <f t="shared" si="1"/>
        <v>0</v>
      </c>
      <c r="N56" s="55">
        <f t="shared" si="2"/>
        <v>2016346</v>
      </c>
    </row>
    <row r="57" spans="1:14" ht="14.25">
      <c r="A57" s="3">
        <f t="shared" si="4"/>
        <v>50</v>
      </c>
      <c r="B57" s="148"/>
      <c r="C57" s="149"/>
      <c r="D57" s="149"/>
      <c r="E57" s="77">
        <f t="shared" si="5"/>
        <v>0</v>
      </c>
      <c r="F57" s="77">
        <f t="shared" si="6"/>
        <v>0</v>
      </c>
      <c r="G57" s="124"/>
      <c r="H57" s="121"/>
      <c r="I57" s="25">
        <f t="shared" si="10"/>
        <v>619424</v>
      </c>
      <c r="J57" s="25">
        <f t="shared" si="10"/>
        <v>1396922</v>
      </c>
      <c r="K57" s="26">
        <f t="shared" si="0"/>
        <v>0</v>
      </c>
      <c r="L57" s="25">
        <f t="shared" si="3"/>
        <v>0</v>
      </c>
      <c r="M57" s="25">
        <f t="shared" si="1"/>
        <v>0</v>
      </c>
      <c r="N57" s="55">
        <f t="shared" si="2"/>
        <v>2016346</v>
      </c>
    </row>
    <row r="58" spans="1:14" ht="14.25">
      <c r="A58" s="3">
        <f t="shared" si="4"/>
        <v>51</v>
      </c>
      <c r="B58" s="148"/>
      <c r="C58" s="149"/>
      <c r="D58" s="149"/>
      <c r="E58" s="77">
        <f t="shared" si="5"/>
        <v>0</v>
      </c>
      <c r="F58" s="77">
        <f t="shared" si="6"/>
        <v>0</v>
      </c>
      <c r="G58" s="124"/>
      <c r="H58" s="121"/>
      <c r="I58" s="25">
        <f t="shared" si="10"/>
        <v>619424</v>
      </c>
      <c r="J58" s="25">
        <f>J57+H58</f>
        <v>1396922</v>
      </c>
      <c r="K58" s="26">
        <f t="shared" si="0"/>
        <v>0</v>
      </c>
      <c r="L58" s="25">
        <f t="shared" si="3"/>
        <v>0</v>
      </c>
      <c r="M58" s="25">
        <f t="shared" si="1"/>
        <v>0</v>
      </c>
      <c r="N58" s="55">
        <f t="shared" si="2"/>
        <v>2016346</v>
      </c>
    </row>
    <row r="59" spans="1:14" ht="15" thickBot="1">
      <c r="A59" s="3">
        <f t="shared" si="4"/>
        <v>52</v>
      </c>
      <c r="B59" s="151"/>
      <c r="C59" s="152"/>
      <c r="D59" s="195"/>
      <c r="E59" s="75">
        <f t="shared" si="5"/>
        <v>0</v>
      </c>
      <c r="F59" s="75">
        <f t="shared" si="6"/>
        <v>0</v>
      </c>
      <c r="G59" s="160"/>
      <c r="H59" s="153"/>
      <c r="I59" s="58">
        <f>I58+G59</f>
        <v>619424</v>
      </c>
      <c r="J59" s="58">
        <f>J58+H59</f>
        <v>1396922</v>
      </c>
      <c r="K59" s="56">
        <f t="shared" si="0"/>
        <v>0</v>
      </c>
      <c r="L59" s="58">
        <f t="shared" si="3"/>
        <v>0</v>
      </c>
      <c r="M59" s="58">
        <f t="shared" si="1"/>
        <v>0</v>
      </c>
      <c r="N59" s="57">
        <f t="shared" si="2"/>
        <v>2016346</v>
      </c>
    </row>
    <row r="60" spans="2:14" ht="12.75">
      <c r="B60" s="53"/>
      <c r="E60" s="78"/>
      <c r="F60" s="78"/>
      <c r="I60" s="26"/>
      <c r="J60" s="26"/>
      <c r="K60" s="26"/>
      <c r="L60" s="26"/>
      <c r="M60" s="26"/>
      <c r="N60" s="26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33.7109375" style="85" customWidth="1"/>
    <col min="2" max="2" width="14.8515625" style="85" customWidth="1"/>
    <col min="3" max="3" width="9.140625" style="85" customWidth="1"/>
    <col min="4" max="4" width="24.140625" style="85" customWidth="1"/>
    <col min="5" max="5" width="13.8515625" style="85" customWidth="1"/>
    <col min="6" max="6" width="10.28125" style="85" bestFit="1" customWidth="1"/>
    <col min="7" max="16384" width="9.140625" style="85" customWidth="1"/>
  </cols>
  <sheetData>
    <row r="1" ht="15">
      <c r="A1" s="84" t="s">
        <v>161</v>
      </c>
    </row>
    <row r="2" ht="15">
      <c r="A2" s="84" t="s">
        <v>0</v>
      </c>
    </row>
    <row r="4" spans="1:2" ht="15">
      <c r="A4" s="161" t="s">
        <v>234</v>
      </c>
      <c r="B4" s="126">
        <f>'Weekliks-Weekly'!B52</f>
        <v>43168</v>
      </c>
    </row>
    <row r="5" spans="1:2" ht="15">
      <c r="A5" s="161" t="s">
        <v>229</v>
      </c>
      <c r="B5" s="86">
        <f>B4</f>
        <v>43168</v>
      </c>
    </row>
    <row r="6" ht="15">
      <c r="D6" s="84"/>
    </row>
    <row r="7" spans="1:5" ht="15">
      <c r="A7" s="84" t="s">
        <v>1</v>
      </c>
      <c r="B7" s="84" t="s">
        <v>2</v>
      </c>
      <c r="E7" s="87"/>
    </row>
    <row r="8" spans="1:6" ht="15">
      <c r="A8" s="91" t="s">
        <v>74</v>
      </c>
      <c r="B8" s="122">
        <f>0</f>
        <v>0</v>
      </c>
      <c r="D8" s="89" t="s">
        <v>67</v>
      </c>
      <c r="E8" s="90">
        <f>B13/(52-'Export destin -Uitvoer bestem.'!$G$6)</f>
        <v>0</v>
      </c>
      <c r="F8" s="88"/>
    </row>
    <row r="9" spans="1:6" ht="15">
      <c r="A9" s="91" t="s">
        <v>75</v>
      </c>
      <c r="B9" s="122">
        <f>0</f>
        <v>0</v>
      </c>
      <c r="D9" s="91" t="s">
        <v>68</v>
      </c>
      <c r="E9" s="92">
        <f>'Export destin -Uitvoer bestem.'!$G$6</f>
        <v>7</v>
      </c>
      <c r="F9" s="88"/>
    </row>
    <row r="10" spans="1:6" ht="15">
      <c r="A10" s="91" t="s">
        <v>4</v>
      </c>
      <c r="B10" s="122">
        <f>0</f>
        <v>0</v>
      </c>
      <c r="D10" s="91" t="s">
        <v>69</v>
      </c>
      <c r="E10" s="92">
        <f>(E8*E9)+B13</f>
        <v>0</v>
      </c>
      <c r="F10" s="88"/>
    </row>
    <row r="11" spans="1:6" ht="15">
      <c r="A11" s="91" t="s">
        <v>117</v>
      </c>
      <c r="B11" s="122">
        <f>0</f>
        <v>0</v>
      </c>
      <c r="E11" s="88"/>
      <c r="F11" s="88"/>
    </row>
    <row r="12" spans="1:6" ht="15">
      <c r="A12" s="91" t="s">
        <v>126</v>
      </c>
      <c r="B12" s="122">
        <f>0</f>
        <v>0</v>
      </c>
      <c r="E12" s="88"/>
      <c r="F12" s="88"/>
    </row>
    <row r="13" spans="1:6" ht="15">
      <c r="A13" s="89" t="s">
        <v>5</v>
      </c>
      <c r="B13" s="100">
        <f>SUM(B8:B12)</f>
        <v>0</v>
      </c>
      <c r="F13" s="88"/>
    </row>
    <row r="14" spans="2:6" ht="15">
      <c r="B14" s="87"/>
      <c r="F14" s="88"/>
    </row>
    <row r="15" spans="1:6" ht="15">
      <c r="A15" s="84" t="s">
        <v>6</v>
      </c>
      <c r="B15" s="85" t="s">
        <v>2</v>
      </c>
      <c r="F15" s="88"/>
    </row>
    <row r="16" spans="1:6" ht="15">
      <c r="A16" s="91" t="s">
        <v>7</v>
      </c>
      <c r="B16" s="122">
        <f>0</f>
        <v>0</v>
      </c>
      <c r="D16" s="89" t="s">
        <v>67</v>
      </c>
      <c r="E16" s="90">
        <f>B23/(52-'Export destin -Uitvoer bestem.'!$G$6)</f>
        <v>0</v>
      </c>
      <c r="F16" s="88"/>
    </row>
    <row r="17" spans="1:6" ht="15">
      <c r="A17" s="91" t="s">
        <v>83</v>
      </c>
      <c r="B17" s="122">
        <f>0</f>
        <v>0</v>
      </c>
      <c r="D17" s="91" t="s">
        <v>68</v>
      </c>
      <c r="E17" s="92">
        <f>'Export destin -Uitvoer bestem.'!$G$6</f>
        <v>7</v>
      </c>
      <c r="F17" s="88"/>
    </row>
    <row r="18" spans="1:12" ht="15">
      <c r="A18" s="91" t="s">
        <v>97</v>
      </c>
      <c r="B18" s="122">
        <f>0</f>
        <v>0</v>
      </c>
      <c r="D18" s="91" t="s">
        <v>69</v>
      </c>
      <c r="E18" s="92">
        <f>(E16*E17)+B23</f>
        <v>0</v>
      </c>
      <c r="F18" s="88"/>
      <c r="L18" s="189"/>
    </row>
    <row r="19" spans="1:12" ht="15">
      <c r="A19" s="91" t="s">
        <v>124</v>
      </c>
      <c r="B19" s="122">
        <f>0</f>
        <v>0</v>
      </c>
      <c r="E19" s="88"/>
      <c r="F19" s="88"/>
      <c r="L19" s="189"/>
    </row>
    <row r="20" spans="1:12" ht="15">
      <c r="A20" s="91" t="s">
        <v>3</v>
      </c>
      <c r="B20" s="122">
        <f>0</f>
        <v>0</v>
      </c>
      <c r="E20" s="88"/>
      <c r="F20" s="88"/>
      <c r="L20" s="189"/>
    </row>
    <row r="21" spans="1:6" ht="15">
      <c r="A21" s="91" t="s">
        <v>98</v>
      </c>
      <c r="B21" s="122">
        <f>0</f>
        <v>0</v>
      </c>
      <c r="E21" s="88"/>
      <c r="F21" s="88"/>
    </row>
    <row r="22" spans="1:6" ht="15">
      <c r="A22" s="91" t="s">
        <v>70</v>
      </c>
      <c r="B22" s="122">
        <f>0</f>
        <v>0</v>
      </c>
      <c r="E22" s="88"/>
      <c r="F22" s="88"/>
    </row>
    <row r="23" spans="1:6" ht="15">
      <c r="A23" s="89" t="s">
        <v>5</v>
      </c>
      <c r="B23" s="100">
        <f>SUM(B16:B22)</f>
        <v>0</v>
      </c>
      <c r="E23" s="88"/>
      <c r="F23" s="88"/>
    </row>
    <row r="24" spans="2:6" ht="15">
      <c r="B24" s="87"/>
      <c r="E24" s="88"/>
      <c r="F24" s="88"/>
    </row>
    <row r="25" spans="1:6" ht="15">
      <c r="A25" s="89" t="s">
        <v>8</v>
      </c>
      <c r="B25" s="100">
        <f>B13+B23</f>
        <v>0</v>
      </c>
      <c r="D25" s="87"/>
      <c r="E25" s="88"/>
      <c r="F25" s="88"/>
    </row>
    <row r="26" spans="5:6" ht="15">
      <c r="E26" s="88"/>
      <c r="F26" s="88"/>
    </row>
    <row r="27" spans="5:6" ht="15">
      <c r="E27" s="88"/>
      <c r="F27" s="88"/>
    </row>
    <row r="28" spans="5:6" ht="15">
      <c r="E28" s="88"/>
      <c r="F28" s="88"/>
    </row>
    <row r="29" spans="5:6" ht="15">
      <c r="E29" s="88"/>
      <c r="F29" s="8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="93" zoomScaleNormal="93" zoomScalePageLayoutView="0" workbookViewId="0" topLeftCell="A1">
      <selection activeCell="G10" sqref="G10"/>
    </sheetView>
  </sheetViews>
  <sheetFormatPr defaultColWidth="9.140625" defaultRowHeight="12.75"/>
  <cols>
    <col min="1" max="1" width="19.7109375" style="0" customWidth="1"/>
    <col min="2" max="2" width="28.28125" style="0" customWidth="1"/>
    <col min="3" max="3" width="14.421875" style="0" customWidth="1"/>
    <col min="4" max="4" width="15.28125" style="0" customWidth="1"/>
    <col min="5" max="5" width="13.57421875" style="0" customWidth="1"/>
    <col min="6" max="6" width="14.421875" style="0" customWidth="1"/>
  </cols>
  <sheetData>
    <row r="1" s="85" customFormat="1" ht="15">
      <c r="A1" s="84" t="s">
        <v>162</v>
      </c>
    </row>
    <row r="2" s="85" customFormat="1" ht="15">
      <c r="A2" s="84" t="s">
        <v>155</v>
      </c>
    </row>
    <row r="3" s="85" customFormat="1" ht="15"/>
    <row r="4" spans="1:2" s="85" customFormat="1" ht="15">
      <c r="A4" s="161" t="s">
        <v>133</v>
      </c>
      <c r="B4" s="126">
        <f>'Weekliks-Weekly'!B8</f>
        <v>42860</v>
      </c>
    </row>
    <row r="5" spans="1:2" s="85" customFormat="1" ht="15">
      <c r="A5" s="161" t="s">
        <v>129</v>
      </c>
      <c r="B5" s="86">
        <f>B4</f>
        <v>42860</v>
      </c>
    </row>
    <row r="6" spans="1:2" s="85" customFormat="1" ht="15">
      <c r="A6" s="161"/>
      <c r="B6" s="8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="91" zoomScaleNormal="91" zoomScalePageLayoutView="0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27.00390625" style="0" customWidth="1"/>
    <col min="3" max="3" width="16.28125" style="0" customWidth="1"/>
    <col min="4" max="4" width="14.00390625" style="0" customWidth="1"/>
    <col min="5" max="5" width="20.140625" style="0" customWidth="1"/>
    <col min="6" max="6" width="9.7109375" style="0" bestFit="1" customWidth="1"/>
    <col min="7" max="8" width="11.140625" style="0" bestFit="1" customWidth="1"/>
  </cols>
  <sheetData>
    <row r="1" s="85" customFormat="1" ht="15">
      <c r="A1" s="84" t="s">
        <v>160</v>
      </c>
    </row>
    <row r="2" s="85" customFormat="1" ht="15">
      <c r="A2" s="84" t="s">
        <v>155</v>
      </c>
    </row>
    <row r="3" s="85" customFormat="1" ht="15"/>
    <row r="4" spans="1:2" s="85" customFormat="1" ht="15">
      <c r="A4" s="161" t="s">
        <v>133</v>
      </c>
      <c r="B4" s="126">
        <f>'Weekliks-Weekly'!B8</f>
        <v>42860</v>
      </c>
    </row>
    <row r="5" spans="1:2" s="85" customFormat="1" ht="15">
      <c r="A5" s="161" t="s">
        <v>129</v>
      </c>
      <c r="B5" s="86">
        <f>B4</f>
        <v>42860</v>
      </c>
    </row>
    <row r="7" spans="1:8" ht="15">
      <c r="A7" s="199" t="s">
        <v>166</v>
      </c>
      <c r="B7" s="200"/>
      <c r="C7" s="200"/>
      <c r="D7" s="200"/>
      <c r="E7" s="200"/>
      <c r="F7" s="200"/>
      <c r="G7" s="200"/>
      <c r="H7" s="201"/>
    </row>
    <row r="8" spans="1:8" ht="15">
      <c r="A8" s="199" t="s">
        <v>167</v>
      </c>
      <c r="B8" s="200"/>
      <c r="C8" s="200"/>
      <c r="D8" s="200"/>
      <c r="E8" s="200"/>
      <c r="F8" s="200"/>
      <c r="G8" s="200"/>
      <c r="H8" s="201"/>
    </row>
    <row r="9" spans="1:8" ht="12.75">
      <c r="A9" s="202" t="s">
        <v>120</v>
      </c>
      <c r="B9" s="203"/>
      <c r="C9" s="203"/>
      <c r="D9" s="203"/>
      <c r="E9" s="203"/>
      <c r="F9" s="203"/>
      <c r="G9" s="203"/>
      <c r="H9" s="204"/>
    </row>
    <row r="10" spans="1:8" ht="12.75">
      <c r="A10" s="192"/>
      <c r="B10" s="192" t="s">
        <v>118</v>
      </c>
      <c r="C10" s="192" t="s">
        <v>154</v>
      </c>
      <c r="D10" s="192" t="s">
        <v>209</v>
      </c>
      <c r="E10" s="192" t="s">
        <v>216</v>
      </c>
      <c r="F10" s="192" t="s">
        <v>153</v>
      </c>
      <c r="G10" s="192" t="s">
        <v>148</v>
      </c>
      <c r="H10" s="192" t="s">
        <v>148</v>
      </c>
    </row>
    <row r="11" spans="1:8" ht="12.75">
      <c r="A11" s="190">
        <v>1</v>
      </c>
      <c r="B11" s="190" t="s">
        <v>131</v>
      </c>
      <c r="C11" s="193">
        <v>0</v>
      </c>
      <c r="D11" s="193">
        <v>0</v>
      </c>
      <c r="E11" s="193">
        <v>0</v>
      </c>
      <c r="F11" s="193">
        <v>0</v>
      </c>
      <c r="G11" s="194">
        <f aca="true" t="shared" si="0" ref="G11:G62">SUM(C11:F11)</f>
        <v>0</v>
      </c>
      <c r="H11" s="194">
        <f>G11</f>
        <v>0</v>
      </c>
    </row>
    <row r="12" spans="1:8" ht="12.75">
      <c r="A12" s="190">
        <v>2</v>
      </c>
      <c r="B12" s="190" t="s">
        <v>138</v>
      </c>
      <c r="C12" s="193">
        <v>87</v>
      </c>
      <c r="D12" s="193">
        <v>0</v>
      </c>
      <c r="E12" s="193">
        <v>0</v>
      </c>
      <c r="F12" s="193">
        <v>0</v>
      </c>
      <c r="G12" s="194">
        <f t="shared" si="0"/>
        <v>87</v>
      </c>
      <c r="H12" s="194">
        <f aca="true" t="shared" si="1" ref="H12:H62">G12+H11</f>
        <v>87</v>
      </c>
    </row>
    <row r="13" spans="1:8" ht="12.75">
      <c r="A13" s="190">
        <v>3</v>
      </c>
      <c r="B13" s="190" t="s">
        <v>139</v>
      </c>
      <c r="C13" s="193">
        <v>0</v>
      </c>
      <c r="D13" s="193">
        <v>0</v>
      </c>
      <c r="E13" s="193">
        <v>0</v>
      </c>
      <c r="F13" s="193">
        <v>0</v>
      </c>
      <c r="G13" s="194">
        <f t="shared" si="0"/>
        <v>0</v>
      </c>
      <c r="H13" s="194">
        <f t="shared" si="1"/>
        <v>87</v>
      </c>
    </row>
    <row r="14" spans="1:8" ht="12.75">
      <c r="A14" s="190">
        <v>4</v>
      </c>
      <c r="B14" s="190" t="s">
        <v>140</v>
      </c>
      <c r="C14" s="193">
        <v>392</v>
      </c>
      <c r="D14" s="193">
        <v>0</v>
      </c>
      <c r="E14" s="193">
        <v>0</v>
      </c>
      <c r="F14" s="193">
        <v>0</v>
      </c>
      <c r="G14" s="194">
        <f t="shared" si="0"/>
        <v>392</v>
      </c>
      <c r="H14" s="194">
        <f t="shared" si="1"/>
        <v>479</v>
      </c>
    </row>
    <row r="15" spans="1:8" ht="12.75">
      <c r="A15" s="190">
        <v>5</v>
      </c>
      <c r="B15" s="190" t="s">
        <v>141</v>
      </c>
      <c r="C15" s="193">
        <v>0</v>
      </c>
      <c r="D15" s="193">
        <v>0</v>
      </c>
      <c r="E15" s="193">
        <v>0</v>
      </c>
      <c r="F15" s="193">
        <v>0</v>
      </c>
      <c r="G15" s="194">
        <f t="shared" si="0"/>
        <v>0</v>
      </c>
      <c r="H15" s="194">
        <f t="shared" si="1"/>
        <v>479</v>
      </c>
    </row>
    <row r="16" spans="1:8" ht="12.75">
      <c r="A16" s="190">
        <v>6</v>
      </c>
      <c r="B16" s="190" t="s">
        <v>142</v>
      </c>
      <c r="C16" s="193">
        <v>0</v>
      </c>
      <c r="D16" s="193">
        <v>0</v>
      </c>
      <c r="E16" s="193">
        <v>0</v>
      </c>
      <c r="F16" s="193">
        <v>0</v>
      </c>
      <c r="G16" s="194">
        <f t="shared" si="0"/>
        <v>0</v>
      </c>
      <c r="H16" s="194">
        <f t="shared" si="1"/>
        <v>479</v>
      </c>
    </row>
    <row r="17" spans="1:8" ht="12.75">
      <c r="A17" s="190">
        <v>7</v>
      </c>
      <c r="B17" s="190" t="s">
        <v>143</v>
      </c>
      <c r="C17" s="193">
        <v>0</v>
      </c>
      <c r="D17" s="193">
        <v>0</v>
      </c>
      <c r="E17" s="193">
        <v>0</v>
      </c>
      <c r="F17" s="193">
        <v>0</v>
      </c>
      <c r="G17" s="194">
        <f t="shared" si="0"/>
        <v>0</v>
      </c>
      <c r="H17" s="194">
        <f t="shared" si="1"/>
        <v>479</v>
      </c>
    </row>
    <row r="18" spans="1:8" ht="12.75">
      <c r="A18" s="190">
        <v>8</v>
      </c>
      <c r="B18" s="190" t="s">
        <v>144</v>
      </c>
      <c r="C18" s="193">
        <v>131</v>
      </c>
      <c r="D18" s="193">
        <v>0</v>
      </c>
      <c r="E18" s="193">
        <v>0</v>
      </c>
      <c r="F18" s="193">
        <v>0</v>
      </c>
      <c r="G18" s="194">
        <f t="shared" si="0"/>
        <v>131</v>
      </c>
      <c r="H18" s="194">
        <f t="shared" si="1"/>
        <v>610</v>
      </c>
    </row>
    <row r="19" spans="1:8" ht="12.75">
      <c r="A19" s="190">
        <v>9</v>
      </c>
      <c r="B19" s="190" t="s">
        <v>145</v>
      </c>
      <c r="C19" s="193">
        <v>0</v>
      </c>
      <c r="D19" s="193">
        <v>0</v>
      </c>
      <c r="E19" s="193">
        <v>0</v>
      </c>
      <c r="F19" s="193">
        <v>0</v>
      </c>
      <c r="G19" s="194">
        <f t="shared" si="0"/>
        <v>0</v>
      </c>
      <c r="H19" s="194">
        <f t="shared" si="1"/>
        <v>610</v>
      </c>
    </row>
    <row r="20" spans="1:8" ht="12.75">
      <c r="A20" s="190">
        <v>10</v>
      </c>
      <c r="B20" s="190" t="s">
        <v>146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610</v>
      </c>
    </row>
    <row r="21" spans="1:8" ht="12.75">
      <c r="A21" s="190">
        <v>11</v>
      </c>
      <c r="B21" s="190" t="s">
        <v>147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610</v>
      </c>
    </row>
    <row r="22" spans="1:8" ht="12.75">
      <c r="A22" s="190">
        <v>12</v>
      </c>
      <c r="B22" s="190" t="s">
        <v>149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610</v>
      </c>
    </row>
    <row r="23" spans="1:8" ht="12.75">
      <c r="A23" s="190">
        <v>13</v>
      </c>
      <c r="B23" s="190" t="s">
        <v>152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610</v>
      </c>
    </row>
    <row r="24" spans="1:8" ht="12.75">
      <c r="A24" s="190">
        <v>14</v>
      </c>
      <c r="B24" s="190" t="s">
        <v>156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94">
        <f t="shared" si="1"/>
        <v>610</v>
      </c>
    </row>
    <row r="25" spans="1:8" ht="12.75">
      <c r="A25" s="190">
        <v>15</v>
      </c>
      <c r="B25" s="190" t="s">
        <v>157</v>
      </c>
      <c r="C25" s="193">
        <v>260</v>
      </c>
      <c r="D25" s="193">
        <v>0</v>
      </c>
      <c r="E25" s="193">
        <v>0</v>
      </c>
      <c r="F25" s="193">
        <v>0</v>
      </c>
      <c r="G25" s="194">
        <f t="shared" si="0"/>
        <v>260</v>
      </c>
      <c r="H25" s="194">
        <f t="shared" si="1"/>
        <v>870</v>
      </c>
    </row>
    <row r="26" spans="1:8" ht="12.75">
      <c r="A26" s="190">
        <v>16</v>
      </c>
      <c r="B26" s="190" t="s">
        <v>163</v>
      </c>
      <c r="C26" s="193">
        <v>0</v>
      </c>
      <c r="D26" s="193">
        <v>0</v>
      </c>
      <c r="E26" s="193">
        <v>0</v>
      </c>
      <c r="F26" s="193">
        <v>0</v>
      </c>
      <c r="G26" s="194">
        <f t="shared" si="0"/>
        <v>0</v>
      </c>
      <c r="H26" s="194">
        <f t="shared" si="1"/>
        <v>870</v>
      </c>
    </row>
    <row r="27" spans="1:8" ht="12.75">
      <c r="A27" s="190">
        <v>17</v>
      </c>
      <c r="B27" s="190" t="s">
        <v>164</v>
      </c>
      <c r="C27" s="193">
        <v>0</v>
      </c>
      <c r="D27" s="193">
        <v>0</v>
      </c>
      <c r="E27" s="193">
        <v>0</v>
      </c>
      <c r="F27" s="193">
        <v>0</v>
      </c>
      <c r="G27" s="194">
        <f t="shared" si="0"/>
        <v>0</v>
      </c>
      <c r="H27" s="194">
        <f t="shared" si="1"/>
        <v>870</v>
      </c>
    </row>
    <row r="28" spans="1:8" ht="12.75">
      <c r="A28" s="190">
        <v>18</v>
      </c>
      <c r="B28" s="190" t="s">
        <v>165</v>
      </c>
      <c r="C28" s="193">
        <v>0</v>
      </c>
      <c r="D28" s="193">
        <v>0</v>
      </c>
      <c r="E28" s="193">
        <v>0</v>
      </c>
      <c r="F28" s="193">
        <v>0</v>
      </c>
      <c r="G28" s="194">
        <f t="shared" si="0"/>
        <v>0</v>
      </c>
      <c r="H28" s="194">
        <f t="shared" si="1"/>
        <v>870</v>
      </c>
    </row>
    <row r="29" spans="1:8" ht="12.75">
      <c r="A29" s="190">
        <v>19</v>
      </c>
      <c r="B29" s="190" t="s">
        <v>176</v>
      </c>
      <c r="C29" s="193">
        <v>143</v>
      </c>
      <c r="D29" s="193">
        <v>0</v>
      </c>
      <c r="E29" s="193">
        <v>0</v>
      </c>
      <c r="F29" s="193">
        <v>0</v>
      </c>
      <c r="G29" s="194">
        <f t="shared" si="0"/>
        <v>143</v>
      </c>
      <c r="H29" s="194">
        <f t="shared" si="1"/>
        <v>1013</v>
      </c>
    </row>
    <row r="30" spans="1:8" ht="12.75">
      <c r="A30" s="190">
        <v>20</v>
      </c>
      <c r="B30" s="190" t="s">
        <v>177</v>
      </c>
      <c r="C30" s="193">
        <v>0</v>
      </c>
      <c r="D30" s="193">
        <v>0</v>
      </c>
      <c r="E30" s="193">
        <v>0</v>
      </c>
      <c r="F30" s="193">
        <v>0</v>
      </c>
      <c r="G30" s="194">
        <f t="shared" si="0"/>
        <v>0</v>
      </c>
      <c r="H30" s="194">
        <f t="shared" si="1"/>
        <v>1013</v>
      </c>
    </row>
    <row r="31" spans="1:8" ht="12.75">
      <c r="A31" s="190">
        <v>21</v>
      </c>
      <c r="B31" s="190" t="s">
        <v>178</v>
      </c>
      <c r="C31" s="193">
        <v>0</v>
      </c>
      <c r="D31" s="193">
        <v>0</v>
      </c>
      <c r="E31" s="193">
        <v>0</v>
      </c>
      <c r="F31" s="193">
        <v>0</v>
      </c>
      <c r="G31" s="194">
        <f t="shared" si="0"/>
        <v>0</v>
      </c>
      <c r="H31" s="194">
        <f t="shared" si="1"/>
        <v>1013</v>
      </c>
    </row>
    <row r="32" spans="1:8" ht="12.75">
      <c r="A32" s="190">
        <v>22</v>
      </c>
      <c r="B32" s="190" t="s">
        <v>179</v>
      </c>
      <c r="C32" s="193">
        <v>111</v>
      </c>
      <c r="D32" s="193">
        <v>0</v>
      </c>
      <c r="E32" s="193">
        <v>0</v>
      </c>
      <c r="F32" s="193">
        <v>0</v>
      </c>
      <c r="G32" s="194">
        <f t="shared" si="0"/>
        <v>111</v>
      </c>
      <c r="H32" s="194">
        <f t="shared" si="1"/>
        <v>1124</v>
      </c>
    </row>
    <row r="33" spans="1:8" ht="12.75">
      <c r="A33" s="190">
        <v>23</v>
      </c>
      <c r="B33" s="190" t="s">
        <v>180</v>
      </c>
      <c r="C33" s="193">
        <v>0</v>
      </c>
      <c r="D33" s="193">
        <v>0</v>
      </c>
      <c r="E33" s="193">
        <v>0</v>
      </c>
      <c r="F33" s="193">
        <v>0</v>
      </c>
      <c r="G33" s="194">
        <f t="shared" si="0"/>
        <v>0</v>
      </c>
      <c r="H33" s="194">
        <f t="shared" si="1"/>
        <v>1124</v>
      </c>
    </row>
    <row r="34" spans="1:8" ht="12.75">
      <c r="A34" s="190">
        <v>24</v>
      </c>
      <c r="B34" s="190" t="s">
        <v>181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0"/>
        <v>0</v>
      </c>
      <c r="H34" s="194">
        <f t="shared" si="1"/>
        <v>1124</v>
      </c>
    </row>
    <row r="35" spans="1:8" ht="12.75">
      <c r="A35" s="190">
        <v>25</v>
      </c>
      <c r="B35" s="190" t="s">
        <v>182</v>
      </c>
      <c r="C35" s="193">
        <v>1022</v>
      </c>
      <c r="D35" s="193">
        <v>8294</v>
      </c>
      <c r="E35" s="193">
        <v>0</v>
      </c>
      <c r="F35" s="193">
        <v>0</v>
      </c>
      <c r="G35" s="194">
        <f t="shared" si="0"/>
        <v>9316</v>
      </c>
      <c r="H35" s="194">
        <f t="shared" si="1"/>
        <v>10440</v>
      </c>
    </row>
    <row r="36" spans="1:8" ht="12.75">
      <c r="A36" s="190">
        <v>26</v>
      </c>
      <c r="B36" s="190" t="s">
        <v>184</v>
      </c>
      <c r="C36" s="193">
        <v>0</v>
      </c>
      <c r="D36" s="193">
        <v>0</v>
      </c>
      <c r="E36" s="193">
        <v>0</v>
      </c>
      <c r="F36" s="193">
        <v>0</v>
      </c>
      <c r="G36" s="194">
        <f t="shared" si="0"/>
        <v>0</v>
      </c>
      <c r="H36" s="194">
        <f t="shared" si="1"/>
        <v>10440</v>
      </c>
    </row>
    <row r="37" spans="1:8" ht="12.75">
      <c r="A37" s="190">
        <v>27</v>
      </c>
      <c r="B37" s="190" t="s">
        <v>185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10440</v>
      </c>
    </row>
    <row r="38" spans="1:8" ht="12.75">
      <c r="A38" s="190">
        <v>28</v>
      </c>
      <c r="B38" s="190" t="s">
        <v>186</v>
      </c>
      <c r="C38" s="193">
        <v>0</v>
      </c>
      <c r="D38" s="193">
        <v>0</v>
      </c>
      <c r="E38" s="193">
        <v>0</v>
      </c>
      <c r="F38" s="193">
        <v>0</v>
      </c>
      <c r="G38" s="194">
        <f t="shared" si="0"/>
        <v>0</v>
      </c>
      <c r="H38" s="194">
        <f t="shared" si="1"/>
        <v>10440</v>
      </c>
    </row>
    <row r="39" spans="1:8" ht="12.75">
      <c r="A39" s="190">
        <v>29</v>
      </c>
      <c r="B39" s="190" t="s">
        <v>187</v>
      </c>
      <c r="C39" s="193">
        <v>0</v>
      </c>
      <c r="D39" s="193">
        <v>0</v>
      </c>
      <c r="E39" s="193">
        <v>0</v>
      </c>
      <c r="F39" s="193">
        <v>0</v>
      </c>
      <c r="G39" s="194">
        <f t="shared" si="0"/>
        <v>0</v>
      </c>
      <c r="H39" s="194">
        <f t="shared" si="1"/>
        <v>10440</v>
      </c>
    </row>
    <row r="40" spans="1:8" ht="12.75">
      <c r="A40" s="190">
        <v>30</v>
      </c>
      <c r="B40" s="190" t="s">
        <v>189</v>
      </c>
      <c r="C40" s="193">
        <v>0</v>
      </c>
      <c r="D40" s="193">
        <v>0</v>
      </c>
      <c r="E40" s="193">
        <v>0</v>
      </c>
      <c r="F40" s="193">
        <v>0</v>
      </c>
      <c r="G40" s="194">
        <f t="shared" si="0"/>
        <v>0</v>
      </c>
      <c r="H40" s="194">
        <f t="shared" si="1"/>
        <v>10440</v>
      </c>
    </row>
    <row r="41" spans="1:8" ht="12.75">
      <c r="A41" s="190">
        <v>31</v>
      </c>
      <c r="B41" s="190" t="s">
        <v>191</v>
      </c>
      <c r="C41" s="193">
        <v>374</v>
      </c>
      <c r="D41" s="193">
        <v>0</v>
      </c>
      <c r="E41" s="193">
        <v>0</v>
      </c>
      <c r="F41" s="193">
        <v>0</v>
      </c>
      <c r="G41" s="194">
        <f t="shared" si="0"/>
        <v>374</v>
      </c>
      <c r="H41" s="194">
        <f t="shared" si="1"/>
        <v>10814</v>
      </c>
    </row>
    <row r="42" spans="1:8" ht="12.75">
      <c r="A42" s="190">
        <v>32</v>
      </c>
      <c r="B42" s="190" t="s">
        <v>192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10814</v>
      </c>
    </row>
    <row r="43" spans="1:8" ht="12.75">
      <c r="A43" s="190">
        <v>33</v>
      </c>
      <c r="B43" s="190" t="s">
        <v>193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10814</v>
      </c>
    </row>
    <row r="44" spans="1:8" ht="12.75">
      <c r="A44" s="190">
        <v>34</v>
      </c>
      <c r="B44" s="190" t="s">
        <v>194</v>
      </c>
      <c r="C44" s="193">
        <v>0</v>
      </c>
      <c r="D44" s="193">
        <v>0</v>
      </c>
      <c r="E44" s="193">
        <v>0</v>
      </c>
      <c r="F44" s="193">
        <v>0</v>
      </c>
      <c r="G44" s="194">
        <f t="shared" si="0"/>
        <v>0</v>
      </c>
      <c r="H44" s="194">
        <f t="shared" si="1"/>
        <v>10814</v>
      </c>
    </row>
    <row r="45" spans="1:8" ht="12.75">
      <c r="A45" s="190" t="s">
        <v>203</v>
      </c>
      <c r="B45" s="190" t="s">
        <v>195</v>
      </c>
      <c r="C45" s="193">
        <v>141</v>
      </c>
      <c r="D45" s="193">
        <v>0</v>
      </c>
      <c r="E45" s="193">
        <v>0</v>
      </c>
      <c r="F45" s="193">
        <v>0</v>
      </c>
      <c r="G45" s="194">
        <f t="shared" si="0"/>
        <v>141</v>
      </c>
      <c r="H45" s="194">
        <f t="shared" si="1"/>
        <v>10955</v>
      </c>
    </row>
    <row r="46" spans="1:8" ht="12.75">
      <c r="A46" s="190">
        <v>36</v>
      </c>
      <c r="B46" s="190" t="s">
        <v>197</v>
      </c>
      <c r="C46" s="193">
        <v>0</v>
      </c>
      <c r="D46" s="193">
        <v>0</v>
      </c>
      <c r="E46" s="193">
        <v>0</v>
      </c>
      <c r="F46" s="193">
        <v>0</v>
      </c>
      <c r="G46" s="194">
        <f t="shared" si="0"/>
        <v>0</v>
      </c>
      <c r="H46" s="194">
        <f t="shared" si="1"/>
        <v>10955</v>
      </c>
    </row>
    <row r="47" spans="1:8" ht="12.75">
      <c r="A47" s="190">
        <v>37</v>
      </c>
      <c r="B47" s="190" t="s">
        <v>198</v>
      </c>
      <c r="C47" s="193">
        <v>0</v>
      </c>
      <c r="D47" s="193">
        <v>0</v>
      </c>
      <c r="E47" s="193">
        <v>0</v>
      </c>
      <c r="F47" s="193">
        <v>0</v>
      </c>
      <c r="G47" s="194">
        <f t="shared" si="0"/>
        <v>0</v>
      </c>
      <c r="H47" s="194">
        <f t="shared" si="1"/>
        <v>10955</v>
      </c>
    </row>
    <row r="48" spans="1:8" ht="12.75">
      <c r="A48" s="190">
        <v>38</v>
      </c>
      <c r="B48" s="190" t="s">
        <v>199</v>
      </c>
      <c r="C48" s="193">
        <v>0</v>
      </c>
      <c r="D48" s="193">
        <v>0</v>
      </c>
      <c r="E48" s="193">
        <v>0</v>
      </c>
      <c r="F48" s="193">
        <v>0</v>
      </c>
      <c r="G48" s="194">
        <f t="shared" si="0"/>
        <v>0</v>
      </c>
      <c r="H48" s="194">
        <f t="shared" si="1"/>
        <v>10955</v>
      </c>
    </row>
    <row r="49" spans="1:8" ht="12.75">
      <c r="A49" s="190">
        <v>39</v>
      </c>
      <c r="B49" s="190" t="s">
        <v>201</v>
      </c>
      <c r="C49" s="193">
        <v>0</v>
      </c>
      <c r="D49" s="193">
        <v>0</v>
      </c>
      <c r="E49" s="193">
        <v>0</v>
      </c>
      <c r="F49" s="193">
        <v>0</v>
      </c>
      <c r="G49" s="194">
        <f t="shared" si="0"/>
        <v>0</v>
      </c>
      <c r="H49" s="194">
        <f t="shared" si="1"/>
        <v>10955</v>
      </c>
    </row>
    <row r="50" spans="1:8" ht="12.75">
      <c r="A50" s="190">
        <v>40</v>
      </c>
      <c r="B50" s="190" t="s">
        <v>204</v>
      </c>
      <c r="C50" s="193">
        <v>0</v>
      </c>
      <c r="D50" s="193">
        <v>0</v>
      </c>
      <c r="E50" s="193">
        <v>149</v>
      </c>
      <c r="F50" s="193">
        <v>0</v>
      </c>
      <c r="G50" s="194">
        <f t="shared" si="0"/>
        <v>149</v>
      </c>
      <c r="H50" s="194">
        <f t="shared" si="1"/>
        <v>11104</v>
      </c>
    </row>
    <row r="51" spans="1:8" ht="12.75">
      <c r="A51" s="190">
        <v>41</v>
      </c>
      <c r="B51" s="190" t="s">
        <v>207</v>
      </c>
      <c r="C51" s="193">
        <v>0</v>
      </c>
      <c r="D51" s="193">
        <v>0</v>
      </c>
      <c r="E51" s="193">
        <v>0</v>
      </c>
      <c r="F51" s="193">
        <v>0</v>
      </c>
      <c r="G51" s="194">
        <f t="shared" si="0"/>
        <v>0</v>
      </c>
      <c r="H51" s="194">
        <f t="shared" si="1"/>
        <v>11104</v>
      </c>
    </row>
    <row r="52" spans="1:8" ht="12.75">
      <c r="A52" s="190">
        <v>42</v>
      </c>
      <c r="B52" s="190" t="s">
        <v>208</v>
      </c>
      <c r="C52" s="193">
        <v>0</v>
      </c>
      <c r="D52" s="193">
        <v>0</v>
      </c>
      <c r="E52" s="193">
        <v>0</v>
      </c>
      <c r="F52" s="193">
        <v>0</v>
      </c>
      <c r="G52" s="194">
        <f t="shared" si="0"/>
        <v>0</v>
      </c>
      <c r="H52" s="194">
        <f t="shared" si="1"/>
        <v>11104</v>
      </c>
    </row>
    <row r="53" spans="1:8" ht="12.75">
      <c r="A53" s="190">
        <v>43</v>
      </c>
      <c r="B53" s="190" t="s">
        <v>210</v>
      </c>
      <c r="C53" s="193">
        <v>0</v>
      </c>
      <c r="D53" s="193">
        <v>0</v>
      </c>
      <c r="E53" s="193">
        <v>0</v>
      </c>
      <c r="F53" s="193">
        <v>0</v>
      </c>
      <c r="G53" s="194">
        <f t="shared" si="0"/>
        <v>0</v>
      </c>
      <c r="H53" s="194">
        <f t="shared" si="1"/>
        <v>11104</v>
      </c>
    </row>
    <row r="54" spans="1:8" ht="12.75">
      <c r="A54" s="190">
        <v>44</v>
      </c>
      <c r="B54" s="190" t="s">
        <v>212</v>
      </c>
      <c r="C54" s="193">
        <v>0</v>
      </c>
      <c r="D54" s="193">
        <v>0</v>
      </c>
      <c r="E54" s="193">
        <v>0</v>
      </c>
      <c r="F54" s="193">
        <v>0</v>
      </c>
      <c r="G54" s="194">
        <f t="shared" si="0"/>
        <v>0</v>
      </c>
      <c r="H54" s="194">
        <f t="shared" si="1"/>
        <v>11104</v>
      </c>
    </row>
    <row r="55" spans="1:8" ht="12.75">
      <c r="A55" s="190">
        <v>45</v>
      </c>
      <c r="B55" s="190" t="s">
        <v>213</v>
      </c>
      <c r="C55" s="193">
        <v>0</v>
      </c>
      <c r="D55" s="193">
        <v>0</v>
      </c>
      <c r="E55" s="193">
        <v>0</v>
      </c>
      <c r="F55" s="193">
        <v>429</v>
      </c>
      <c r="G55" s="194">
        <f t="shared" si="0"/>
        <v>429</v>
      </c>
      <c r="H55" s="194">
        <f t="shared" si="1"/>
        <v>11533</v>
      </c>
    </row>
    <row r="56" spans="1:8" ht="12.75">
      <c r="A56" s="190">
        <v>46</v>
      </c>
      <c r="B56" s="190" t="s">
        <v>214</v>
      </c>
      <c r="C56" s="193">
        <v>0</v>
      </c>
      <c r="D56" s="193">
        <v>0</v>
      </c>
      <c r="E56" s="193">
        <v>0</v>
      </c>
      <c r="F56" s="193">
        <v>0</v>
      </c>
      <c r="G56" s="194">
        <f t="shared" si="0"/>
        <v>0</v>
      </c>
      <c r="H56" s="194">
        <f t="shared" si="1"/>
        <v>11533</v>
      </c>
    </row>
    <row r="57" spans="1:8" ht="12.75">
      <c r="A57" s="190">
        <v>47</v>
      </c>
      <c r="B57" s="190" t="s">
        <v>215</v>
      </c>
      <c r="C57" s="193">
        <v>0</v>
      </c>
      <c r="D57" s="193">
        <v>0</v>
      </c>
      <c r="E57" s="193">
        <v>0</v>
      </c>
      <c r="F57" s="193">
        <v>0</v>
      </c>
      <c r="G57" s="194">
        <f t="shared" si="0"/>
        <v>0</v>
      </c>
      <c r="H57" s="194">
        <f t="shared" si="1"/>
        <v>11533</v>
      </c>
    </row>
    <row r="58" spans="1:8" ht="12.75">
      <c r="A58" s="190">
        <v>48</v>
      </c>
      <c r="B58" s="190" t="s">
        <v>217</v>
      </c>
      <c r="C58" s="193">
        <v>0</v>
      </c>
      <c r="D58" s="193">
        <v>0</v>
      </c>
      <c r="E58" s="193">
        <v>0</v>
      </c>
      <c r="F58" s="193">
        <v>0</v>
      </c>
      <c r="G58" s="194">
        <f t="shared" si="0"/>
        <v>0</v>
      </c>
      <c r="H58" s="194">
        <f t="shared" si="1"/>
        <v>11533</v>
      </c>
    </row>
    <row r="59" spans="1:8" ht="12.75">
      <c r="A59" s="190">
        <v>49</v>
      </c>
      <c r="B59" s="190" t="s">
        <v>219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11533</v>
      </c>
    </row>
    <row r="60" spans="1:8" ht="12.75">
      <c r="A60" s="190">
        <v>50</v>
      </c>
      <c r="B60" s="190" t="s">
        <v>220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11533</v>
      </c>
    </row>
    <row r="61" spans="1:8" ht="12.75">
      <c r="A61" s="190">
        <v>51</v>
      </c>
      <c r="B61" s="190" t="s">
        <v>223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11533</v>
      </c>
    </row>
    <row r="62" spans="1:8" ht="12.75">
      <c r="A62" s="190">
        <v>52</v>
      </c>
      <c r="B62" s="190" t="s">
        <v>224</v>
      </c>
      <c r="C62" s="193">
        <v>0</v>
      </c>
      <c r="D62" s="193">
        <v>0</v>
      </c>
      <c r="E62" s="193">
        <v>0</v>
      </c>
      <c r="F62" s="193">
        <v>0</v>
      </c>
      <c r="G62" s="194">
        <f t="shared" si="0"/>
        <v>0</v>
      </c>
      <c r="H62" s="194">
        <f t="shared" si="1"/>
        <v>11533</v>
      </c>
    </row>
    <row r="63" spans="1:8" ht="12.75">
      <c r="A63" s="190" t="s">
        <v>120</v>
      </c>
      <c r="B63" s="190" t="s">
        <v>121</v>
      </c>
      <c r="C63" s="194">
        <f>SUM(C11:C62)</f>
        <v>2661</v>
      </c>
      <c r="D63" s="194">
        <f>SUM(D11:D62)</f>
        <v>8294</v>
      </c>
      <c r="E63" s="194">
        <f>SUM(E11:E62)</f>
        <v>149</v>
      </c>
      <c r="F63" s="194">
        <f>SUM(F11:F62)</f>
        <v>429</v>
      </c>
      <c r="G63" s="194">
        <f>SUM(G11:G62)</f>
        <v>11533</v>
      </c>
      <c r="H63" s="194"/>
    </row>
    <row r="64" spans="1:8" ht="12.75">
      <c r="A64" s="191"/>
      <c r="B64" s="191"/>
      <c r="C64" s="191"/>
      <c r="D64" s="191"/>
      <c r="E64" s="191"/>
      <c r="F64" s="191"/>
      <c r="G64" s="191"/>
      <c r="H64" s="191"/>
    </row>
    <row r="65" spans="1:8" ht="12.75">
      <c r="A65" t="s">
        <v>225</v>
      </c>
      <c r="F65" s="191"/>
      <c r="G65" s="191"/>
      <c r="H65" s="19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27.7109375" style="0" customWidth="1"/>
    <col min="3" max="3" width="17.28125" style="0" customWidth="1"/>
    <col min="4" max="4" width="13.7109375" style="0" customWidth="1"/>
    <col min="5" max="5" width="17.7109375" style="0" customWidth="1"/>
    <col min="6" max="9" width="11.140625" style="0" bestFit="1" customWidth="1"/>
  </cols>
  <sheetData>
    <row r="1" s="85" customFormat="1" ht="15">
      <c r="A1" s="84" t="s">
        <v>170</v>
      </c>
    </row>
    <row r="2" s="85" customFormat="1" ht="15">
      <c r="A2" s="84" t="s">
        <v>171</v>
      </c>
    </row>
    <row r="3" s="85" customFormat="1" ht="15"/>
    <row r="4" spans="1:2" s="85" customFormat="1" ht="15">
      <c r="A4" s="161" t="s">
        <v>133</v>
      </c>
      <c r="B4" s="126">
        <f>'Weekliks-Weekly'!B59</f>
        <v>0</v>
      </c>
    </row>
    <row r="5" spans="1:2" s="85" customFormat="1" ht="15">
      <c r="A5" s="161" t="s">
        <v>129</v>
      </c>
      <c r="B5" s="86">
        <f>B4</f>
        <v>0</v>
      </c>
    </row>
    <row r="7" spans="1:11" ht="15">
      <c r="A7" s="199" t="s">
        <v>221</v>
      </c>
      <c r="B7" s="200"/>
      <c r="C7" s="200"/>
      <c r="D7" s="200"/>
      <c r="E7" s="200"/>
      <c r="F7" s="200"/>
      <c r="G7" s="200"/>
      <c r="H7" s="200"/>
      <c r="I7" s="200"/>
      <c r="J7" s="200"/>
      <c r="K7" s="201"/>
    </row>
    <row r="8" spans="1:11" ht="15">
      <c r="A8" s="199" t="s">
        <v>205</v>
      </c>
      <c r="B8" s="200"/>
      <c r="C8" s="200"/>
      <c r="D8" s="200"/>
      <c r="E8" s="200"/>
      <c r="F8" s="200"/>
      <c r="G8" s="200"/>
      <c r="H8" s="200"/>
      <c r="I8" s="200"/>
      <c r="J8" s="200"/>
      <c r="K8" s="201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203"/>
      <c r="J9" s="203"/>
      <c r="K9" s="204"/>
    </row>
    <row r="10" spans="1:11" ht="12.75">
      <c r="A10" s="192"/>
      <c r="B10" s="192" t="s">
        <v>118</v>
      </c>
      <c r="C10" s="192" t="s">
        <v>222</v>
      </c>
      <c r="D10" s="192" t="s">
        <v>168</v>
      </c>
      <c r="E10" s="192" t="s">
        <v>183</v>
      </c>
      <c r="F10" s="192" t="s">
        <v>172</v>
      </c>
      <c r="G10" s="192" t="s">
        <v>173</v>
      </c>
      <c r="H10" s="192" t="s">
        <v>218</v>
      </c>
      <c r="I10" s="192" t="s">
        <v>169</v>
      </c>
      <c r="J10" s="192" t="s">
        <v>148</v>
      </c>
      <c r="K10" s="192" t="s">
        <v>148</v>
      </c>
    </row>
    <row r="11" spans="1:11" ht="12.75">
      <c r="A11" s="190">
        <v>1</v>
      </c>
      <c r="B11" s="190" t="s">
        <v>131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4">
        <f aca="true" t="shared" si="0" ref="J11:J62">SUM(C11:I11)</f>
        <v>0</v>
      </c>
      <c r="K11" s="194">
        <f>J11</f>
        <v>0</v>
      </c>
    </row>
    <row r="12" spans="1:11" ht="12.75">
      <c r="A12" s="190">
        <v>2</v>
      </c>
      <c r="B12" s="190" t="s">
        <v>138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136</v>
      </c>
      <c r="J12" s="194">
        <f t="shared" si="0"/>
        <v>136</v>
      </c>
      <c r="K12" s="194">
        <f aca="true" t="shared" si="1" ref="K12:K62">J12+K11</f>
        <v>136</v>
      </c>
    </row>
    <row r="13" spans="1:11" ht="12.75">
      <c r="A13" s="190">
        <v>3</v>
      </c>
      <c r="B13" s="190" t="s">
        <v>139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483</v>
      </c>
      <c r="J13" s="194">
        <f t="shared" si="0"/>
        <v>483</v>
      </c>
      <c r="K13" s="194">
        <f t="shared" si="1"/>
        <v>619</v>
      </c>
    </row>
    <row r="14" spans="1:11" ht="12.75">
      <c r="A14" s="190">
        <v>4</v>
      </c>
      <c r="B14" s="190" t="s">
        <v>140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515</v>
      </c>
      <c r="J14" s="194">
        <f t="shared" si="0"/>
        <v>515</v>
      </c>
      <c r="K14" s="194">
        <f t="shared" si="1"/>
        <v>1134</v>
      </c>
    </row>
    <row r="15" spans="1:11" ht="12.75">
      <c r="A15" s="190">
        <v>5</v>
      </c>
      <c r="B15" s="190" t="s">
        <v>141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4">
        <f t="shared" si="0"/>
        <v>0</v>
      </c>
      <c r="K15" s="194">
        <f t="shared" si="1"/>
        <v>1134</v>
      </c>
    </row>
    <row r="16" spans="1:11" ht="12.75">
      <c r="A16" s="190">
        <v>6</v>
      </c>
      <c r="B16" s="190" t="s">
        <v>142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957</v>
      </c>
      <c r="J16" s="194">
        <f t="shared" si="0"/>
        <v>957</v>
      </c>
      <c r="K16" s="194">
        <f t="shared" si="1"/>
        <v>2091</v>
      </c>
    </row>
    <row r="17" spans="1:11" ht="12.75">
      <c r="A17" s="190">
        <v>7</v>
      </c>
      <c r="B17" s="190" t="s">
        <v>143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4">
        <f t="shared" si="0"/>
        <v>0</v>
      </c>
      <c r="K17" s="194">
        <f t="shared" si="1"/>
        <v>2091</v>
      </c>
    </row>
    <row r="18" spans="1:11" ht="12.75">
      <c r="A18" s="190">
        <v>8</v>
      </c>
      <c r="B18" s="190" t="s">
        <v>144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1240</v>
      </c>
      <c r="J18" s="194">
        <f t="shared" si="0"/>
        <v>1240</v>
      </c>
      <c r="K18" s="194">
        <f t="shared" si="1"/>
        <v>3331</v>
      </c>
    </row>
    <row r="19" spans="1:11" ht="12.75">
      <c r="A19" s="190">
        <v>9</v>
      </c>
      <c r="B19" s="190" t="s">
        <v>145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4">
        <f t="shared" si="0"/>
        <v>0</v>
      </c>
      <c r="K19" s="194">
        <f t="shared" si="1"/>
        <v>3331</v>
      </c>
    </row>
    <row r="20" spans="1:11" ht="12.75">
      <c r="A20" s="190">
        <v>10</v>
      </c>
      <c r="B20" s="190" t="s">
        <v>146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4">
        <f t="shared" si="0"/>
        <v>0</v>
      </c>
      <c r="K20" s="194">
        <f t="shared" si="1"/>
        <v>3331</v>
      </c>
    </row>
    <row r="21" spans="1:11" ht="12.75">
      <c r="A21" s="190">
        <v>11</v>
      </c>
      <c r="B21" s="190" t="s">
        <v>147</v>
      </c>
      <c r="C21" s="193">
        <v>0</v>
      </c>
      <c r="D21" s="193">
        <v>529</v>
      </c>
      <c r="E21" s="193">
        <v>0</v>
      </c>
      <c r="F21" s="193">
        <v>0</v>
      </c>
      <c r="G21" s="193">
        <v>0</v>
      </c>
      <c r="H21" s="193">
        <v>0</v>
      </c>
      <c r="I21" s="193">
        <v>4993</v>
      </c>
      <c r="J21" s="194">
        <f t="shared" si="0"/>
        <v>5522</v>
      </c>
      <c r="K21" s="194">
        <f t="shared" si="1"/>
        <v>8853</v>
      </c>
    </row>
    <row r="22" spans="1:11" ht="12.75">
      <c r="A22" s="190">
        <v>12</v>
      </c>
      <c r="B22" s="190" t="s">
        <v>149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4">
        <f t="shared" si="0"/>
        <v>0</v>
      </c>
      <c r="K22" s="194">
        <f t="shared" si="1"/>
        <v>8853</v>
      </c>
    </row>
    <row r="23" spans="1:11" ht="12.75">
      <c r="A23" s="190">
        <v>13</v>
      </c>
      <c r="B23" s="190" t="s">
        <v>152</v>
      </c>
      <c r="C23" s="193">
        <v>0</v>
      </c>
      <c r="D23" s="193">
        <v>3080</v>
      </c>
      <c r="E23" s="193">
        <v>0</v>
      </c>
      <c r="F23" s="193">
        <v>0</v>
      </c>
      <c r="G23" s="193">
        <v>0</v>
      </c>
      <c r="H23" s="193">
        <v>0</v>
      </c>
      <c r="I23" s="193">
        <v>7</v>
      </c>
      <c r="J23" s="194">
        <f t="shared" si="0"/>
        <v>3087</v>
      </c>
      <c r="K23" s="194">
        <f t="shared" si="1"/>
        <v>11940</v>
      </c>
    </row>
    <row r="24" spans="1:11" ht="12.75">
      <c r="A24" s="190">
        <v>14</v>
      </c>
      <c r="B24" s="190" t="s">
        <v>156</v>
      </c>
      <c r="C24" s="193">
        <v>0</v>
      </c>
      <c r="D24" s="193">
        <v>4366</v>
      </c>
      <c r="E24" s="193">
        <v>0</v>
      </c>
      <c r="F24" s="193">
        <v>0</v>
      </c>
      <c r="G24" s="193">
        <v>0</v>
      </c>
      <c r="H24" s="193">
        <v>0</v>
      </c>
      <c r="I24" s="193">
        <v>4183</v>
      </c>
      <c r="J24" s="194">
        <f t="shared" si="0"/>
        <v>8549</v>
      </c>
      <c r="K24" s="194">
        <f t="shared" si="1"/>
        <v>20489</v>
      </c>
    </row>
    <row r="25" spans="1:11" ht="12.75">
      <c r="A25" s="190">
        <v>15</v>
      </c>
      <c r="B25" s="190" t="s">
        <v>157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4">
        <f t="shared" si="0"/>
        <v>0</v>
      </c>
      <c r="K25" s="194">
        <f t="shared" si="1"/>
        <v>20489</v>
      </c>
    </row>
    <row r="26" spans="1:11" ht="12.75">
      <c r="A26" s="190">
        <v>16</v>
      </c>
      <c r="B26" s="190" t="s">
        <v>163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8116</v>
      </c>
      <c r="J26" s="194">
        <f t="shared" si="0"/>
        <v>8116</v>
      </c>
      <c r="K26" s="194">
        <f t="shared" si="1"/>
        <v>28605</v>
      </c>
    </row>
    <row r="27" spans="1:11" ht="12.75">
      <c r="A27" s="190">
        <v>17</v>
      </c>
      <c r="B27" s="190" t="s">
        <v>164</v>
      </c>
      <c r="C27" s="193">
        <v>0</v>
      </c>
      <c r="D27" s="193">
        <v>749</v>
      </c>
      <c r="E27" s="193">
        <v>0</v>
      </c>
      <c r="F27" s="193">
        <v>0</v>
      </c>
      <c r="G27" s="193">
        <v>0</v>
      </c>
      <c r="H27" s="193">
        <v>0</v>
      </c>
      <c r="I27" s="193">
        <v>8613</v>
      </c>
      <c r="J27" s="194">
        <f t="shared" si="0"/>
        <v>9362</v>
      </c>
      <c r="K27" s="194">
        <f t="shared" si="1"/>
        <v>37967</v>
      </c>
    </row>
    <row r="28" spans="1:11" ht="12.75">
      <c r="A28" s="190">
        <v>18</v>
      </c>
      <c r="B28" s="190" t="s">
        <v>165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7858</v>
      </c>
      <c r="J28" s="194">
        <f t="shared" si="0"/>
        <v>7858</v>
      </c>
      <c r="K28" s="194">
        <f t="shared" si="1"/>
        <v>45825</v>
      </c>
    </row>
    <row r="29" spans="1:11" ht="12.75">
      <c r="A29" s="190">
        <v>19</v>
      </c>
      <c r="B29" s="190" t="s">
        <v>176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5356</v>
      </c>
      <c r="J29" s="194">
        <f t="shared" si="0"/>
        <v>5356</v>
      </c>
      <c r="K29" s="194">
        <f t="shared" si="1"/>
        <v>51181</v>
      </c>
    </row>
    <row r="30" spans="1:11" ht="12.75">
      <c r="A30" s="190">
        <v>20</v>
      </c>
      <c r="B30" s="190" t="s">
        <v>177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3639</v>
      </c>
      <c r="J30" s="194">
        <f t="shared" si="0"/>
        <v>3639</v>
      </c>
      <c r="K30" s="194">
        <f t="shared" si="1"/>
        <v>54820</v>
      </c>
    </row>
    <row r="31" spans="1:11" ht="12.75">
      <c r="A31" s="190">
        <v>21</v>
      </c>
      <c r="B31" s="190" t="s">
        <v>178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4297</v>
      </c>
      <c r="J31" s="194">
        <f t="shared" si="0"/>
        <v>4297</v>
      </c>
      <c r="K31" s="194">
        <f t="shared" si="1"/>
        <v>59117</v>
      </c>
    </row>
    <row r="32" spans="1:11" ht="12.75">
      <c r="A32" s="190">
        <v>22</v>
      </c>
      <c r="B32" s="190" t="s">
        <v>179</v>
      </c>
      <c r="C32" s="193">
        <v>0</v>
      </c>
      <c r="D32" s="193">
        <v>2369</v>
      </c>
      <c r="E32" s="193">
        <v>68</v>
      </c>
      <c r="F32" s="193">
        <v>0</v>
      </c>
      <c r="G32" s="193">
        <v>0</v>
      </c>
      <c r="H32" s="193">
        <v>0</v>
      </c>
      <c r="I32" s="193">
        <v>8532</v>
      </c>
      <c r="J32" s="194">
        <f t="shared" si="0"/>
        <v>10969</v>
      </c>
      <c r="K32" s="194">
        <f t="shared" si="1"/>
        <v>70086</v>
      </c>
    </row>
    <row r="33" spans="1:11" ht="12.75">
      <c r="A33" s="190">
        <v>23</v>
      </c>
      <c r="B33" s="190" t="s">
        <v>180</v>
      </c>
      <c r="C33" s="193">
        <v>0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10</v>
      </c>
      <c r="J33" s="194">
        <f t="shared" si="0"/>
        <v>10</v>
      </c>
      <c r="K33" s="194">
        <f t="shared" si="1"/>
        <v>70096</v>
      </c>
    </row>
    <row r="34" spans="1:11" ht="12.75">
      <c r="A34" s="190">
        <v>24</v>
      </c>
      <c r="B34" s="190" t="s">
        <v>181</v>
      </c>
      <c r="C34" s="193">
        <v>0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1184</v>
      </c>
      <c r="J34" s="194">
        <f t="shared" si="0"/>
        <v>1184</v>
      </c>
      <c r="K34" s="194">
        <f t="shared" si="1"/>
        <v>71280</v>
      </c>
    </row>
    <row r="35" spans="1:11" ht="12.75">
      <c r="A35" s="190">
        <v>25</v>
      </c>
      <c r="B35" s="190" t="s">
        <v>182</v>
      </c>
      <c r="C35" s="193">
        <v>0</v>
      </c>
      <c r="D35" s="193">
        <v>0</v>
      </c>
      <c r="E35" s="193">
        <v>0</v>
      </c>
      <c r="F35" s="193">
        <v>0</v>
      </c>
      <c r="G35" s="193">
        <v>0</v>
      </c>
      <c r="H35" s="193">
        <v>0</v>
      </c>
      <c r="I35" s="193">
        <v>3085</v>
      </c>
      <c r="J35" s="194">
        <f t="shared" si="0"/>
        <v>3085</v>
      </c>
      <c r="K35" s="194">
        <f t="shared" si="1"/>
        <v>74365</v>
      </c>
    </row>
    <row r="36" spans="1:11" ht="12.75">
      <c r="A36" s="190">
        <v>26</v>
      </c>
      <c r="B36" s="190" t="s">
        <v>184</v>
      </c>
      <c r="C36" s="193">
        <v>0</v>
      </c>
      <c r="D36" s="193">
        <v>1760</v>
      </c>
      <c r="E36" s="193">
        <v>0</v>
      </c>
      <c r="F36" s="193">
        <v>0</v>
      </c>
      <c r="G36" s="193">
        <v>0</v>
      </c>
      <c r="H36" s="193">
        <v>0</v>
      </c>
      <c r="I36" s="193">
        <v>11964</v>
      </c>
      <c r="J36" s="194">
        <f t="shared" si="0"/>
        <v>13724</v>
      </c>
      <c r="K36" s="194">
        <f t="shared" si="1"/>
        <v>88089</v>
      </c>
    </row>
    <row r="37" spans="1:11" ht="12.75">
      <c r="A37" s="190">
        <v>27</v>
      </c>
      <c r="B37" s="190" t="s">
        <v>185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1973</v>
      </c>
      <c r="J37" s="194">
        <f t="shared" si="0"/>
        <v>1973</v>
      </c>
      <c r="K37" s="194">
        <f t="shared" si="1"/>
        <v>90062</v>
      </c>
    </row>
    <row r="38" spans="1:11" ht="12.75">
      <c r="A38" s="190">
        <v>28</v>
      </c>
      <c r="B38" s="190" t="s">
        <v>186</v>
      </c>
      <c r="C38" s="193">
        <v>0</v>
      </c>
      <c r="D38" s="193">
        <v>0</v>
      </c>
      <c r="E38" s="193">
        <v>0</v>
      </c>
      <c r="F38" s="193">
        <v>0</v>
      </c>
      <c r="G38" s="193">
        <v>0</v>
      </c>
      <c r="H38" s="193">
        <v>0</v>
      </c>
      <c r="I38" s="193">
        <v>470</v>
      </c>
      <c r="J38" s="194">
        <f t="shared" si="0"/>
        <v>470</v>
      </c>
      <c r="K38" s="194">
        <f t="shared" si="1"/>
        <v>90532</v>
      </c>
    </row>
    <row r="39" spans="1:11" ht="12.75">
      <c r="A39" s="190">
        <v>29</v>
      </c>
      <c r="B39" s="190" t="s">
        <v>187</v>
      </c>
      <c r="C39" s="193">
        <v>0</v>
      </c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7009</v>
      </c>
      <c r="J39" s="194">
        <f t="shared" si="0"/>
        <v>7009</v>
      </c>
      <c r="K39" s="194">
        <f t="shared" si="1"/>
        <v>97541</v>
      </c>
    </row>
    <row r="40" spans="1:11" ht="12.75">
      <c r="A40" s="190">
        <v>30</v>
      </c>
      <c r="B40" s="190" t="s">
        <v>189</v>
      </c>
      <c r="C40" s="193">
        <v>0</v>
      </c>
      <c r="D40" s="193">
        <v>6175</v>
      </c>
      <c r="E40" s="193">
        <v>0</v>
      </c>
      <c r="F40" s="193">
        <v>0</v>
      </c>
      <c r="G40" s="193">
        <v>0</v>
      </c>
      <c r="H40" s="193">
        <v>0</v>
      </c>
      <c r="I40" s="193">
        <v>10366</v>
      </c>
      <c r="J40" s="194">
        <f t="shared" si="0"/>
        <v>16541</v>
      </c>
      <c r="K40" s="194">
        <f t="shared" si="1"/>
        <v>114082</v>
      </c>
    </row>
    <row r="41" spans="1:11" ht="12.75">
      <c r="A41" s="190">
        <v>31</v>
      </c>
      <c r="B41" s="190" t="s">
        <v>191</v>
      </c>
      <c r="C41" s="193">
        <v>0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1769</v>
      </c>
      <c r="J41" s="194">
        <f t="shared" si="0"/>
        <v>1769</v>
      </c>
      <c r="K41" s="194">
        <f t="shared" si="1"/>
        <v>115851</v>
      </c>
    </row>
    <row r="42" spans="1:11" ht="12.75">
      <c r="A42" s="190">
        <v>32</v>
      </c>
      <c r="B42" s="190" t="s">
        <v>192</v>
      </c>
      <c r="C42" s="193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  <c r="J42" s="194">
        <f t="shared" si="0"/>
        <v>0</v>
      </c>
      <c r="K42" s="194">
        <f t="shared" si="1"/>
        <v>115851</v>
      </c>
    </row>
    <row r="43" spans="1:11" ht="12.75">
      <c r="A43" s="190">
        <v>33</v>
      </c>
      <c r="B43" s="190" t="s">
        <v>193</v>
      </c>
      <c r="C43" s="193">
        <v>0</v>
      </c>
      <c r="D43" s="193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4">
        <f t="shared" si="0"/>
        <v>0</v>
      </c>
      <c r="K43" s="194">
        <f t="shared" si="1"/>
        <v>115851</v>
      </c>
    </row>
    <row r="44" spans="1:11" ht="12.75">
      <c r="A44" s="190">
        <v>34</v>
      </c>
      <c r="B44" s="190" t="s">
        <v>194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4">
        <f t="shared" si="0"/>
        <v>0</v>
      </c>
      <c r="K44" s="194">
        <f t="shared" si="1"/>
        <v>115851</v>
      </c>
    </row>
    <row r="45" spans="1:11" ht="12.75">
      <c r="A45" s="190" t="s">
        <v>203</v>
      </c>
      <c r="B45" s="190" t="s">
        <v>195</v>
      </c>
      <c r="C45" s="193">
        <v>0</v>
      </c>
      <c r="D45" s="193">
        <v>10368</v>
      </c>
      <c r="E45" s="193">
        <v>0</v>
      </c>
      <c r="F45" s="193">
        <v>0</v>
      </c>
      <c r="G45" s="193">
        <v>300</v>
      </c>
      <c r="H45" s="193">
        <v>0</v>
      </c>
      <c r="I45" s="193">
        <v>13837</v>
      </c>
      <c r="J45" s="194">
        <f t="shared" si="0"/>
        <v>24505</v>
      </c>
      <c r="K45" s="194">
        <f t="shared" si="1"/>
        <v>140356</v>
      </c>
    </row>
    <row r="46" spans="1:11" ht="12.75">
      <c r="A46" s="190">
        <v>36</v>
      </c>
      <c r="B46" s="190" t="s">
        <v>197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1688</v>
      </c>
      <c r="J46" s="194">
        <f t="shared" si="0"/>
        <v>1688</v>
      </c>
      <c r="K46" s="194">
        <f t="shared" si="1"/>
        <v>142044</v>
      </c>
    </row>
    <row r="47" spans="1:11" ht="12.75">
      <c r="A47" s="190">
        <v>37</v>
      </c>
      <c r="B47" s="190" t="s">
        <v>198</v>
      </c>
      <c r="C47" s="193">
        <v>0</v>
      </c>
      <c r="D47" s="193">
        <v>0</v>
      </c>
      <c r="E47" s="193">
        <v>0</v>
      </c>
      <c r="F47" s="193">
        <v>0</v>
      </c>
      <c r="G47" s="193">
        <v>407</v>
      </c>
      <c r="H47" s="193">
        <v>0</v>
      </c>
      <c r="I47" s="193">
        <v>2125</v>
      </c>
      <c r="J47" s="194">
        <f t="shared" si="0"/>
        <v>2532</v>
      </c>
      <c r="K47" s="194">
        <f t="shared" si="1"/>
        <v>144576</v>
      </c>
    </row>
    <row r="48" spans="1:11" ht="12.75">
      <c r="A48" s="190">
        <v>38</v>
      </c>
      <c r="B48" s="190" t="s">
        <v>199</v>
      </c>
      <c r="C48" s="193">
        <v>0</v>
      </c>
      <c r="D48" s="193">
        <v>257</v>
      </c>
      <c r="E48" s="193">
        <v>0</v>
      </c>
      <c r="F48" s="193">
        <v>0</v>
      </c>
      <c r="G48" s="193">
        <v>0</v>
      </c>
      <c r="H48" s="193">
        <v>0</v>
      </c>
      <c r="I48" s="193">
        <v>951</v>
      </c>
      <c r="J48" s="194">
        <f t="shared" si="0"/>
        <v>1208</v>
      </c>
      <c r="K48" s="194">
        <f t="shared" si="1"/>
        <v>145784</v>
      </c>
    </row>
    <row r="49" spans="1:11" ht="12.75">
      <c r="A49" s="190">
        <v>39</v>
      </c>
      <c r="B49" s="190" t="s">
        <v>201</v>
      </c>
      <c r="C49" s="193">
        <v>0</v>
      </c>
      <c r="D49" s="193">
        <v>688</v>
      </c>
      <c r="E49" s="193">
        <v>0</v>
      </c>
      <c r="F49" s="193">
        <v>813</v>
      </c>
      <c r="G49" s="193">
        <v>445</v>
      </c>
      <c r="H49" s="193">
        <v>0</v>
      </c>
      <c r="I49" s="193">
        <v>3386</v>
      </c>
      <c r="J49" s="194">
        <f t="shared" si="0"/>
        <v>5332</v>
      </c>
      <c r="K49" s="194">
        <f t="shared" si="1"/>
        <v>151116</v>
      </c>
    </row>
    <row r="50" spans="1:11" ht="12.75">
      <c r="A50" s="190">
        <v>40</v>
      </c>
      <c r="B50" s="190" t="s">
        <v>204</v>
      </c>
      <c r="C50" s="193">
        <v>0</v>
      </c>
      <c r="D50" s="193">
        <v>399</v>
      </c>
      <c r="E50" s="193">
        <v>0</v>
      </c>
      <c r="F50" s="193">
        <v>0</v>
      </c>
      <c r="G50" s="193">
        <v>0</v>
      </c>
      <c r="H50" s="193">
        <v>0</v>
      </c>
      <c r="I50" s="193">
        <v>1855</v>
      </c>
      <c r="J50" s="194">
        <f t="shared" si="0"/>
        <v>2254</v>
      </c>
      <c r="K50" s="194">
        <f t="shared" si="1"/>
        <v>153370</v>
      </c>
    </row>
    <row r="51" spans="1:11" ht="12.75">
      <c r="A51" s="190">
        <v>41</v>
      </c>
      <c r="B51" s="190" t="s">
        <v>207</v>
      </c>
      <c r="C51" s="193">
        <v>0</v>
      </c>
      <c r="D51" s="193">
        <v>0</v>
      </c>
      <c r="E51" s="193">
        <v>0</v>
      </c>
      <c r="F51" s="193">
        <v>464</v>
      </c>
      <c r="G51" s="193">
        <v>0</v>
      </c>
      <c r="H51" s="193">
        <v>0</v>
      </c>
      <c r="I51" s="193">
        <v>3602</v>
      </c>
      <c r="J51" s="194">
        <f t="shared" si="0"/>
        <v>4066</v>
      </c>
      <c r="K51" s="194">
        <f t="shared" si="1"/>
        <v>157436</v>
      </c>
    </row>
    <row r="52" spans="1:11" ht="12.75">
      <c r="A52" s="190">
        <v>42</v>
      </c>
      <c r="B52" s="190" t="s">
        <v>208</v>
      </c>
      <c r="C52" s="193">
        <v>0</v>
      </c>
      <c r="D52" s="193">
        <v>203</v>
      </c>
      <c r="E52" s="193">
        <v>0</v>
      </c>
      <c r="F52" s="193">
        <v>105</v>
      </c>
      <c r="G52" s="193">
        <v>0</v>
      </c>
      <c r="H52" s="193">
        <v>0</v>
      </c>
      <c r="I52" s="193">
        <v>4841</v>
      </c>
      <c r="J52" s="194">
        <f t="shared" si="0"/>
        <v>5149</v>
      </c>
      <c r="K52" s="194">
        <f t="shared" si="1"/>
        <v>162585</v>
      </c>
    </row>
    <row r="53" spans="1:11" ht="12.75">
      <c r="A53" s="190">
        <v>43</v>
      </c>
      <c r="B53" s="190" t="s">
        <v>210</v>
      </c>
      <c r="C53" s="193">
        <v>0</v>
      </c>
      <c r="D53" s="193">
        <v>1362</v>
      </c>
      <c r="E53" s="193">
        <v>0</v>
      </c>
      <c r="F53" s="193">
        <v>421</v>
      </c>
      <c r="G53" s="193">
        <v>0</v>
      </c>
      <c r="H53" s="193">
        <v>0</v>
      </c>
      <c r="I53" s="193">
        <v>5881</v>
      </c>
      <c r="J53" s="194">
        <f t="shared" si="0"/>
        <v>7664</v>
      </c>
      <c r="K53" s="194">
        <f t="shared" si="1"/>
        <v>170249</v>
      </c>
    </row>
    <row r="54" spans="1:11" ht="12.75">
      <c r="A54" s="190">
        <v>44</v>
      </c>
      <c r="B54" s="190" t="s">
        <v>212</v>
      </c>
      <c r="C54" s="193">
        <v>0</v>
      </c>
      <c r="D54" s="193">
        <v>814</v>
      </c>
      <c r="E54" s="193">
        <v>0</v>
      </c>
      <c r="F54" s="193">
        <v>568</v>
      </c>
      <c r="G54" s="193">
        <v>0</v>
      </c>
      <c r="H54" s="193">
        <v>0</v>
      </c>
      <c r="I54" s="193">
        <v>2022</v>
      </c>
      <c r="J54" s="194">
        <f t="shared" si="0"/>
        <v>3404</v>
      </c>
      <c r="K54" s="194">
        <f t="shared" si="1"/>
        <v>173653</v>
      </c>
    </row>
    <row r="55" spans="1:11" ht="12.75">
      <c r="A55" s="190">
        <v>45</v>
      </c>
      <c r="B55" s="190" t="s">
        <v>213</v>
      </c>
      <c r="C55" s="193">
        <v>0</v>
      </c>
      <c r="D55" s="193">
        <v>1222</v>
      </c>
      <c r="E55" s="193">
        <v>0</v>
      </c>
      <c r="F55" s="193">
        <v>0</v>
      </c>
      <c r="G55" s="193">
        <v>0</v>
      </c>
      <c r="H55" s="193">
        <v>0</v>
      </c>
      <c r="I55" s="193">
        <v>3664</v>
      </c>
      <c r="J55" s="194">
        <f t="shared" si="0"/>
        <v>4886</v>
      </c>
      <c r="K55" s="194">
        <f t="shared" si="1"/>
        <v>178539</v>
      </c>
    </row>
    <row r="56" spans="1:11" ht="12.75">
      <c r="A56" s="190">
        <v>46</v>
      </c>
      <c r="B56" s="190" t="s">
        <v>214</v>
      </c>
      <c r="C56" s="193">
        <v>0</v>
      </c>
      <c r="D56" s="193">
        <v>1421</v>
      </c>
      <c r="E56" s="193">
        <v>0</v>
      </c>
      <c r="F56" s="193">
        <v>0</v>
      </c>
      <c r="G56" s="193">
        <v>0</v>
      </c>
      <c r="H56" s="193">
        <v>0</v>
      </c>
      <c r="I56" s="193">
        <v>4890</v>
      </c>
      <c r="J56" s="194">
        <f t="shared" si="0"/>
        <v>6311</v>
      </c>
      <c r="K56" s="194">
        <f t="shared" si="1"/>
        <v>184850</v>
      </c>
    </row>
    <row r="57" spans="1:11" ht="12.75">
      <c r="A57" s="190">
        <v>47</v>
      </c>
      <c r="B57" s="190" t="s">
        <v>215</v>
      </c>
      <c r="C57" s="193">
        <v>0</v>
      </c>
      <c r="D57" s="193">
        <v>867</v>
      </c>
      <c r="E57" s="193">
        <v>0</v>
      </c>
      <c r="F57" s="193">
        <v>0</v>
      </c>
      <c r="G57" s="193">
        <v>0</v>
      </c>
      <c r="H57" s="193">
        <v>0</v>
      </c>
      <c r="I57" s="193">
        <v>3957</v>
      </c>
      <c r="J57" s="194">
        <f t="shared" si="0"/>
        <v>4824</v>
      </c>
      <c r="K57" s="194">
        <f t="shared" si="1"/>
        <v>189674</v>
      </c>
    </row>
    <row r="58" spans="1:11" ht="12.75">
      <c r="A58" s="190">
        <v>48</v>
      </c>
      <c r="B58" s="190" t="s">
        <v>217</v>
      </c>
      <c r="C58" s="193">
        <v>0</v>
      </c>
      <c r="D58" s="193">
        <v>1202</v>
      </c>
      <c r="E58" s="193">
        <v>0</v>
      </c>
      <c r="F58" s="193">
        <v>107</v>
      </c>
      <c r="G58" s="193">
        <v>0</v>
      </c>
      <c r="H58" s="193">
        <v>19995</v>
      </c>
      <c r="I58" s="193">
        <v>7825</v>
      </c>
      <c r="J58" s="194">
        <f t="shared" si="0"/>
        <v>29129</v>
      </c>
      <c r="K58" s="194">
        <f t="shared" si="1"/>
        <v>218803</v>
      </c>
    </row>
    <row r="59" spans="1:11" ht="12.75">
      <c r="A59" s="190">
        <v>49</v>
      </c>
      <c r="B59" s="190" t="s">
        <v>219</v>
      </c>
      <c r="C59" s="193">
        <v>0</v>
      </c>
      <c r="D59" s="193">
        <v>180</v>
      </c>
      <c r="E59" s="193">
        <v>0</v>
      </c>
      <c r="F59" s="193">
        <v>0</v>
      </c>
      <c r="G59" s="193">
        <v>0</v>
      </c>
      <c r="H59" s="193">
        <v>0</v>
      </c>
      <c r="I59" s="193">
        <v>6217</v>
      </c>
      <c r="J59" s="194">
        <f t="shared" si="0"/>
        <v>6397</v>
      </c>
      <c r="K59" s="194">
        <f t="shared" si="1"/>
        <v>225200</v>
      </c>
    </row>
    <row r="60" spans="1:11" ht="12.75">
      <c r="A60" s="190">
        <v>50</v>
      </c>
      <c r="B60" s="190" t="s">
        <v>220</v>
      </c>
      <c r="C60" s="193">
        <v>809</v>
      </c>
      <c r="D60" s="193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5273</v>
      </c>
      <c r="J60" s="194">
        <f t="shared" si="0"/>
        <v>6082</v>
      </c>
      <c r="K60" s="194">
        <f t="shared" si="1"/>
        <v>231282</v>
      </c>
    </row>
    <row r="61" spans="1:11" ht="12.75">
      <c r="A61" s="190">
        <v>51</v>
      </c>
      <c r="B61" s="190" t="s">
        <v>223</v>
      </c>
      <c r="C61" s="193">
        <v>600</v>
      </c>
      <c r="D61" s="193">
        <v>102</v>
      </c>
      <c r="E61" s="193">
        <v>0</v>
      </c>
      <c r="F61" s="193">
        <v>0</v>
      </c>
      <c r="G61" s="193">
        <v>0</v>
      </c>
      <c r="H61" s="193">
        <v>0</v>
      </c>
      <c r="I61" s="193">
        <v>2001</v>
      </c>
      <c r="J61" s="194">
        <f t="shared" si="0"/>
        <v>2703</v>
      </c>
      <c r="K61" s="194">
        <f t="shared" si="1"/>
        <v>233985</v>
      </c>
    </row>
    <row r="62" spans="1:11" ht="12.75">
      <c r="A62" s="190">
        <v>52</v>
      </c>
      <c r="B62" s="190" t="s">
        <v>224</v>
      </c>
      <c r="C62" s="193">
        <v>902</v>
      </c>
      <c r="D62" s="193">
        <v>116</v>
      </c>
      <c r="E62" s="193">
        <v>0</v>
      </c>
      <c r="F62" s="193">
        <v>0</v>
      </c>
      <c r="G62" s="193">
        <v>0</v>
      </c>
      <c r="H62" s="193">
        <v>0</v>
      </c>
      <c r="I62" s="193">
        <v>3772</v>
      </c>
      <c r="J62" s="194">
        <f t="shared" si="0"/>
        <v>4790</v>
      </c>
      <c r="K62" s="194">
        <f t="shared" si="1"/>
        <v>238775</v>
      </c>
    </row>
    <row r="63" spans="1:11" ht="12.75">
      <c r="A63" s="190" t="s">
        <v>120</v>
      </c>
      <c r="B63" s="190" t="s">
        <v>121</v>
      </c>
      <c r="C63" s="194">
        <f aca="true" t="shared" si="2" ref="C63:I63">SUM(C11:C62)</f>
        <v>2311</v>
      </c>
      <c r="D63" s="194">
        <f t="shared" si="2"/>
        <v>38229</v>
      </c>
      <c r="E63" s="194">
        <f t="shared" si="2"/>
        <v>68</v>
      </c>
      <c r="F63" s="194">
        <f t="shared" si="2"/>
        <v>2478</v>
      </c>
      <c r="G63" s="194">
        <f t="shared" si="2"/>
        <v>1152</v>
      </c>
      <c r="H63" s="194">
        <f t="shared" si="2"/>
        <v>19995</v>
      </c>
      <c r="I63" s="194">
        <f t="shared" si="2"/>
        <v>174542</v>
      </c>
      <c r="J63" s="194">
        <f>SUM(J11:J62)</f>
        <v>238775</v>
      </c>
      <c r="K63" s="194"/>
    </row>
    <row r="64" spans="1:11" ht="12.7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</row>
    <row r="65" spans="1:11" ht="12.75">
      <c r="A65" t="s">
        <v>200</v>
      </c>
      <c r="F65" s="191"/>
      <c r="G65" s="191"/>
      <c r="H65" s="191"/>
      <c r="I65" s="191"/>
      <c r="J65" s="191"/>
      <c r="K65" s="191"/>
    </row>
  </sheetData>
  <sheetProtection/>
  <mergeCells count="3">
    <mergeCell ref="A7:K7"/>
    <mergeCell ref="A8:K8"/>
    <mergeCell ref="A9:K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7" sqref="A7:H65"/>
    </sheetView>
  </sheetViews>
  <sheetFormatPr defaultColWidth="9.140625" defaultRowHeight="12.75"/>
  <cols>
    <col min="1" max="1" width="16.28125" style="0" customWidth="1"/>
    <col min="2" max="2" width="32.8515625" style="0" customWidth="1"/>
    <col min="3" max="3" width="17.140625" style="0" customWidth="1"/>
    <col min="4" max="4" width="16.00390625" style="0" customWidth="1"/>
    <col min="5" max="5" width="16.7109375" style="0" customWidth="1"/>
    <col min="6" max="6" width="11.57421875" style="0" customWidth="1"/>
    <col min="7" max="7" width="12.28125" style="0" customWidth="1"/>
    <col min="8" max="8" width="11.140625" style="0" bestFit="1" customWidth="1"/>
  </cols>
  <sheetData>
    <row r="1" s="85" customFormat="1" ht="15">
      <c r="A1" s="84" t="s">
        <v>174</v>
      </c>
    </row>
    <row r="2" s="85" customFormat="1" ht="15">
      <c r="A2" s="84" t="s">
        <v>175</v>
      </c>
    </row>
    <row r="3" s="85" customFormat="1" ht="15"/>
    <row r="4" spans="1:2" s="85" customFormat="1" ht="15">
      <c r="A4" s="161" t="s">
        <v>133</v>
      </c>
      <c r="B4" s="126">
        <f>'Weekliks-Weekly'!B59</f>
        <v>0</v>
      </c>
    </row>
    <row r="5" spans="1:2" s="85" customFormat="1" ht="15">
      <c r="A5" s="161" t="s">
        <v>129</v>
      </c>
      <c r="B5" s="86">
        <f>B4</f>
        <v>0</v>
      </c>
    </row>
    <row r="7" spans="1:8" ht="15">
      <c r="A7" s="199" t="s">
        <v>211</v>
      </c>
      <c r="B7" s="200"/>
      <c r="C7" s="200"/>
      <c r="D7" s="200"/>
      <c r="E7" s="200"/>
      <c r="F7" s="200"/>
      <c r="G7" s="200"/>
      <c r="H7" s="201"/>
    </row>
    <row r="8" spans="1:8" ht="15">
      <c r="A8" s="199" t="s">
        <v>206</v>
      </c>
      <c r="B8" s="200"/>
      <c r="C8" s="200"/>
      <c r="D8" s="200"/>
      <c r="E8" s="200"/>
      <c r="F8" s="200"/>
      <c r="G8" s="200"/>
      <c r="H8" s="201"/>
    </row>
    <row r="9" spans="1:8" ht="12.75">
      <c r="A9" s="202" t="s">
        <v>120</v>
      </c>
      <c r="B9" s="203"/>
      <c r="C9" s="203"/>
      <c r="D9" s="203"/>
      <c r="E9" s="203"/>
      <c r="F9" s="203"/>
      <c r="G9" s="203"/>
      <c r="H9" s="204"/>
    </row>
    <row r="10" spans="1:8" ht="12.75">
      <c r="A10" s="192"/>
      <c r="B10" s="192" t="s">
        <v>118</v>
      </c>
      <c r="C10" s="192" t="s">
        <v>196</v>
      </c>
      <c r="D10" s="192" t="s">
        <v>172</v>
      </c>
      <c r="E10" s="192" t="s">
        <v>173</v>
      </c>
      <c r="F10" s="192" t="s">
        <v>169</v>
      </c>
      <c r="G10" s="192" t="s">
        <v>148</v>
      </c>
      <c r="H10" s="192" t="s">
        <v>148</v>
      </c>
    </row>
    <row r="11" spans="1:8" ht="12.75">
      <c r="A11" s="190">
        <v>1</v>
      </c>
      <c r="B11" s="190" t="s">
        <v>131</v>
      </c>
      <c r="C11" s="193">
        <v>0</v>
      </c>
      <c r="D11" s="193">
        <v>0</v>
      </c>
      <c r="E11" s="193">
        <v>0</v>
      </c>
      <c r="F11" s="193">
        <v>0</v>
      </c>
      <c r="G11" s="194">
        <f aca="true" t="shared" si="0" ref="G11:G62">SUM(C11:F11)</f>
        <v>0</v>
      </c>
      <c r="H11" s="194">
        <f>G11</f>
        <v>0</v>
      </c>
    </row>
    <row r="12" spans="1:8" ht="12.75">
      <c r="A12" s="190">
        <v>2</v>
      </c>
      <c r="B12" s="190" t="s">
        <v>138</v>
      </c>
      <c r="C12" s="193">
        <v>0</v>
      </c>
      <c r="D12" s="193">
        <v>87</v>
      </c>
      <c r="E12" s="193">
        <v>0</v>
      </c>
      <c r="F12" s="193">
        <v>0</v>
      </c>
      <c r="G12" s="194">
        <f t="shared" si="0"/>
        <v>87</v>
      </c>
      <c r="H12" s="194">
        <f aca="true" t="shared" si="1" ref="H12:H62">G12+H11</f>
        <v>87</v>
      </c>
    </row>
    <row r="13" spans="1:8" ht="12.75">
      <c r="A13" s="190">
        <v>3</v>
      </c>
      <c r="B13" s="190" t="s">
        <v>139</v>
      </c>
      <c r="C13" s="193">
        <v>0</v>
      </c>
      <c r="D13" s="193">
        <v>0</v>
      </c>
      <c r="E13" s="193">
        <v>0</v>
      </c>
      <c r="F13" s="193">
        <v>0</v>
      </c>
      <c r="G13" s="194">
        <f t="shared" si="0"/>
        <v>0</v>
      </c>
      <c r="H13" s="194">
        <f t="shared" si="1"/>
        <v>87</v>
      </c>
    </row>
    <row r="14" spans="1:8" ht="12.75">
      <c r="A14" s="190">
        <v>4</v>
      </c>
      <c r="B14" s="190" t="s">
        <v>140</v>
      </c>
      <c r="C14" s="193">
        <v>0</v>
      </c>
      <c r="D14" s="193">
        <v>0</v>
      </c>
      <c r="E14" s="193">
        <v>1115</v>
      </c>
      <c r="F14" s="193">
        <v>912</v>
      </c>
      <c r="G14" s="194">
        <f t="shared" si="0"/>
        <v>2027</v>
      </c>
      <c r="H14" s="194">
        <f t="shared" si="1"/>
        <v>2114</v>
      </c>
    </row>
    <row r="15" spans="1:8" ht="12.75">
      <c r="A15" s="190">
        <v>5</v>
      </c>
      <c r="B15" s="190" t="s">
        <v>141</v>
      </c>
      <c r="C15" s="193">
        <v>0</v>
      </c>
      <c r="D15" s="193">
        <v>0</v>
      </c>
      <c r="E15" s="193">
        <v>290</v>
      </c>
      <c r="F15" s="193">
        <v>0</v>
      </c>
      <c r="G15" s="194">
        <f t="shared" si="0"/>
        <v>290</v>
      </c>
      <c r="H15" s="194">
        <f t="shared" si="1"/>
        <v>2404</v>
      </c>
    </row>
    <row r="16" spans="1:8" ht="12.75">
      <c r="A16" s="190">
        <v>6</v>
      </c>
      <c r="B16" s="190" t="s">
        <v>142</v>
      </c>
      <c r="C16" s="193">
        <v>0</v>
      </c>
      <c r="D16" s="193">
        <v>0</v>
      </c>
      <c r="E16" s="193">
        <v>426</v>
      </c>
      <c r="F16" s="193">
        <v>0</v>
      </c>
      <c r="G16" s="194">
        <f t="shared" si="0"/>
        <v>426</v>
      </c>
      <c r="H16" s="194">
        <f t="shared" si="1"/>
        <v>2830</v>
      </c>
    </row>
    <row r="17" spans="1:8" ht="12.75">
      <c r="A17" s="190">
        <v>7</v>
      </c>
      <c r="B17" s="190" t="s">
        <v>143</v>
      </c>
      <c r="C17" s="193">
        <v>0</v>
      </c>
      <c r="D17" s="193">
        <v>0</v>
      </c>
      <c r="E17" s="193">
        <v>71</v>
      </c>
      <c r="F17" s="193">
        <v>0</v>
      </c>
      <c r="G17" s="194">
        <f t="shared" si="0"/>
        <v>71</v>
      </c>
      <c r="H17" s="194">
        <f t="shared" si="1"/>
        <v>2901</v>
      </c>
    </row>
    <row r="18" spans="1:8" ht="12.75">
      <c r="A18" s="190">
        <v>8</v>
      </c>
      <c r="B18" s="190" t="s">
        <v>144</v>
      </c>
      <c r="C18" s="193">
        <v>0</v>
      </c>
      <c r="D18" s="193">
        <v>131</v>
      </c>
      <c r="E18" s="193">
        <v>1096</v>
      </c>
      <c r="F18" s="193">
        <v>0</v>
      </c>
      <c r="G18" s="194">
        <f t="shared" si="0"/>
        <v>1227</v>
      </c>
      <c r="H18" s="194">
        <f t="shared" si="1"/>
        <v>4128</v>
      </c>
    </row>
    <row r="19" spans="1:8" ht="12.75">
      <c r="A19" s="190">
        <v>9</v>
      </c>
      <c r="B19" s="190" t="s">
        <v>145</v>
      </c>
      <c r="C19" s="193">
        <v>0</v>
      </c>
      <c r="D19" s="193">
        <v>0</v>
      </c>
      <c r="E19" s="193">
        <v>0</v>
      </c>
      <c r="F19" s="193">
        <v>0</v>
      </c>
      <c r="G19" s="194">
        <f t="shared" si="0"/>
        <v>0</v>
      </c>
      <c r="H19" s="194">
        <f t="shared" si="1"/>
        <v>4128</v>
      </c>
    </row>
    <row r="20" spans="1:8" ht="12.75">
      <c r="A20" s="190">
        <v>10</v>
      </c>
      <c r="B20" s="190" t="s">
        <v>146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4128</v>
      </c>
    </row>
    <row r="21" spans="1:8" ht="12.75">
      <c r="A21" s="190">
        <v>11</v>
      </c>
      <c r="B21" s="190" t="s">
        <v>147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4128</v>
      </c>
    </row>
    <row r="22" spans="1:8" ht="12.75">
      <c r="A22" s="190">
        <v>12</v>
      </c>
      <c r="B22" s="190" t="s">
        <v>149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4128</v>
      </c>
    </row>
    <row r="23" spans="1:8" ht="12.75">
      <c r="A23" s="190">
        <v>13</v>
      </c>
      <c r="B23" s="190" t="s">
        <v>152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4128</v>
      </c>
    </row>
    <row r="24" spans="1:8" ht="12.75">
      <c r="A24" s="190">
        <v>14</v>
      </c>
      <c r="B24" s="190" t="s">
        <v>156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94">
        <f t="shared" si="1"/>
        <v>4128</v>
      </c>
    </row>
    <row r="25" spans="1:8" ht="12.75">
      <c r="A25" s="190">
        <v>15</v>
      </c>
      <c r="B25" s="190" t="s">
        <v>157</v>
      </c>
      <c r="C25" s="193">
        <v>0</v>
      </c>
      <c r="D25" s="193">
        <v>39</v>
      </c>
      <c r="E25" s="193">
        <v>0</v>
      </c>
      <c r="F25" s="193">
        <v>0</v>
      </c>
      <c r="G25" s="194">
        <f t="shared" si="0"/>
        <v>39</v>
      </c>
      <c r="H25" s="194">
        <f t="shared" si="1"/>
        <v>4167</v>
      </c>
    </row>
    <row r="26" spans="1:8" ht="12.75">
      <c r="A26" s="190">
        <v>16</v>
      </c>
      <c r="B26" s="190" t="s">
        <v>163</v>
      </c>
      <c r="C26" s="193">
        <v>0</v>
      </c>
      <c r="D26" s="193">
        <v>0</v>
      </c>
      <c r="E26" s="193">
        <v>0</v>
      </c>
      <c r="F26" s="193">
        <v>0</v>
      </c>
      <c r="G26" s="194">
        <f t="shared" si="0"/>
        <v>0</v>
      </c>
      <c r="H26" s="194">
        <f t="shared" si="1"/>
        <v>4167</v>
      </c>
    </row>
    <row r="27" spans="1:8" ht="12.75">
      <c r="A27" s="190">
        <v>17</v>
      </c>
      <c r="B27" s="190" t="s">
        <v>164</v>
      </c>
      <c r="C27" s="193">
        <v>0</v>
      </c>
      <c r="D27" s="193">
        <v>0</v>
      </c>
      <c r="E27" s="193">
        <v>97</v>
      </c>
      <c r="F27" s="193">
        <v>0</v>
      </c>
      <c r="G27" s="194">
        <f t="shared" si="0"/>
        <v>97</v>
      </c>
      <c r="H27" s="194">
        <f t="shared" si="1"/>
        <v>4264</v>
      </c>
    </row>
    <row r="28" spans="1:8" ht="12.75">
      <c r="A28" s="190">
        <v>18</v>
      </c>
      <c r="B28" s="190" t="s">
        <v>165</v>
      </c>
      <c r="C28" s="193">
        <v>0</v>
      </c>
      <c r="D28" s="193">
        <v>0</v>
      </c>
      <c r="E28" s="193">
        <v>0</v>
      </c>
      <c r="F28" s="193">
        <v>0</v>
      </c>
      <c r="G28" s="194">
        <f t="shared" si="0"/>
        <v>0</v>
      </c>
      <c r="H28" s="194">
        <f t="shared" si="1"/>
        <v>4264</v>
      </c>
    </row>
    <row r="29" spans="1:8" ht="12.75">
      <c r="A29" s="190">
        <v>19</v>
      </c>
      <c r="B29" s="190" t="s">
        <v>176</v>
      </c>
      <c r="C29" s="193">
        <v>0</v>
      </c>
      <c r="D29" s="193">
        <v>0</v>
      </c>
      <c r="E29" s="193">
        <v>0</v>
      </c>
      <c r="F29" s="193">
        <v>0</v>
      </c>
      <c r="G29" s="194">
        <f t="shared" si="0"/>
        <v>0</v>
      </c>
      <c r="H29" s="194">
        <f t="shared" si="1"/>
        <v>4264</v>
      </c>
    </row>
    <row r="30" spans="1:8" ht="12.75">
      <c r="A30" s="190">
        <v>20</v>
      </c>
      <c r="B30" s="190" t="s">
        <v>177</v>
      </c>
      <c r="C30" s="193">
        <v>0</v>
      </c>
      <c r="D30" s="193">
        <v>0</v>
      </c>
      <c r="E30" s="193">
        <v>0</v>
      </c>
      <c r="F30" s="193">
        <v>0</v>
      </c>
      <c r="G30" s="194">
        <f t="shared" si="0"/>
        <v>0</v>
      </c>
      <c r="H30" s="194">
        <f t="shared" si="1"/>
        <v>4264</v>
      </c>
    </row>
    <row r="31" spans="1:8" ht="12.75">
      <c r="A31" s="190">
        <v>21</v>
      </c>
      <c r="B31" s="190" t="s">
        <v>178</v>
      </c>
      <c r="C31" s="193">
        <v>0</v>
      </c>
      <c r="D31" s="193">
        <v>0</v>
      </c>
      <c r="E31" s="193">
        <v>0</v>
      </c>
      <c r="F31" s="193">
        <v>0</v>
      </c>
      <c r="G31" s="194">
        <f t="shared" si="0"/>
        <v>0</v>
      </c>
      <c r="H31" s="194">
        <f t="shared" si="1"/>
        <v>4264</v>
      </c>
    </row>
    <row r="32" spans="1:8" ht="12.75">
      <c r="A32" s="190">
        <v>22</v>
      </c>
      <c r="B32" s="190" t="s">
        <v>179</v>
      </c>
      <c r="C32" s="193">
        <v>0</v>
      </c>
      <c r="D32" s="193">
        <v>210</v>
      </c>
      <c r="E32" s="193">
        <v>0</v>
      </c>
      <c r="F32" s="193">
        <v>0</v>
      </c>
      <c r="G32" s="194">
        <f t="shared" si="0"/>
        <v>210</v>
      </c>
      <c r="H32" s="194">
        <f t="shared" si="1"/>
        <v>4474</v>
      </c>
    </row>
    <row r="33" spans="1:8" ht="12.75">
      <c r="A33" s="190">
        <v>23</v>
      </c>
      <c r="B33" s="190" t="s">
        <v>180</v>
      </c>
      <c r="C33" s="193">
        <v>0</v>
      </c>
      <c r="D33" s="193">
        <v>129</v>
      </c>
      <c r="E33" s="193">
        <v>0</v>
      </c>
      <c r="F33" s="193">
        <v>0</v>
      </c>
      <c r="G33" s="194">
        <f t="shared" si="0"/>
        <v>129</v>
      </c>
      <c r="H33" s="194">
        <f t="shared" si="1"/>
        <v>4603</v>
      </c>
    </row>
    <row r="34" spans="1:8" ht="12.75">
      <c r="A34" s="190">
        <v>24</v>
      </c>
      <c r="B34" s="190" t="s">
        <v>181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0"/>
        <v>0</v>
      </c>
      <c r="H34" s="194">
        <f t="shared" si="1"/>
        <v>4603</v>
      </c>
    </row>
    <row r="35" spans="1:8" ht="12.75">
      <c r="A35" s="190">
        <v>25</v>
      </c>
      <c r="B35" s="190" t="s">
        <v>182</v>
      </c>
      <c r="C35" s="193">
        <v>0</v>
      </c>
      <c r="D35" s="193">
        <v>0</v>
      </c>
      <c r="E35" s="193">
        <v>0</v>
      </c>
      <c r="F35" s="193">
        <v>0</v>
      </c>
      <c r="G35" s="194">
        <f t="shared" si="0"/>
        <v>0</v>
      </c>
      <c r="H35" s="194">
        <f t="shared" si="1"/>
        <v>4603</v>
      </c>
    </row>
    <row r="36" spans="1:8" ht="12.75">
      <c r="A36" s="190">
        <v>26</v>
      </c>
      <c r="B36" s="190" t="s">
        <v>184</v>
      </c>
      <c r="C36" s="193">
        <v>0</v>
      </c>
      <c r="D36" s="193">
        <v>298</v>
      </c>
      <c r="E36" s="193">
        <v>0</v>
      </c>
      <c r="F36" s="193">
        <v>0</v>
      </c>
      <c r="G36" s="194">
        <f t="shared" si="0"/>
        <v>298</v>
      </c>
      <c r="H36" s="194">
        <f t="shared" si="1"/>
        <v>4901</v>
      </c>
    </row>
    <row r="37" spans="1:8" ht="12.75">
      <c r="A37" s="190">
        <v>27</v>
      </c>
      <c r="B37" s="190" t="s">
        <v>185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4901</v>
      </c>
    </row>
    <row r="38" spans="1:8" ht="12.75">
      <c r="A38" s="190">
        <v>28</v>
      </c>
      <c r="B38" s="190" t="s">
        <v>186</v>
      </c>
      <c r="C38" s="193">
        <v>0</v>
      </c>
      <c r="D38" s="193">
        <v>0</v>
      </c>
      <c r="E38" s="193">
        <v>0</v>
      </c>
      <c r="F38" s="193">
        <v>0</v>
      </c>
      <c r="G38" s="194">
        <f t="shared" si="0"/>
        <v>0</v>
      </c>
      <c r="H38" s="194">
        <f t="shared" si="1"/>
        <v>4901</v>
      </c>
    </row>
    <row r="39" spans="1:8" ht="12.75">
      <c r="A39" s="190">
        <v>29</v>
      </c>
      <c r="B39" s="190" t="s">
        <v>187</v>
      </c>
      <c r="C39" s="193">
        <v>0</v>
      </c>
      <c r="D39" s="193">
        <v>0</v>
      </c>
      <c r="E39" s="193">
        <v>0</v>
      </c>
      <c r="F39" s="193">
        <v>0</v>
      </c>
      <c r="G39" s="194">
        <f t="shared" si="0"/>
        <v>0</v>
      </c>
      <c r="H39" s="194">
        <f t="shared" si="1"/>
        <v>4901</v>
      </c>
    </row>
    <row r="40" spans="1:8" ht="12.75">
      <c r="A40" s="190">
        <v>30</v>
      </c>
      <c r="B40" s="190" t="s">
        <v>189</v>
      </c>
      <c r="C40" s="193">
        <v>724</v>
      </c>
      <c r="D40" s="193">
        <v>136</v>
      </c>
      <c r="E40" s="193">
        <v>0</v>
      </c>
      <c r="F40" s="193">
        <v>0</v>
      </c>
      <c r="G40" s="194">
        <f t="shared" si="0"/>
        <v>860</v>
      </c>
      <c r="H40" s="194">
        <f t="shared" si="1"/>
        <v>5761</v>
      </c>
    </row>
    <row r="41" spans="1:8" ht="12.75">
      <c r="A41" s="190">
        <v>31</v>
      </c>
      <c r="B41" s="190" t="s">
        <v>191</v>
      </c>
      <c r="C41" s="193">
        <v>0</v>
      </c>
      <c r="D41" s="193">
        <v>0</v>
      </c>
      <c r="E41" s="193">
        <v>0</v>
      </c>
      <c r="F41" s="193">
        <v>0</v>
      </c>
      <c r="G41" s="194">
        <f t="shared" si="0"/>
        <v>0</v>
      </c>
      <c r="H41" s="194">
        <f t="shared" si="1"/>
        <v>5761</v>
      </c>
    </row>
    <row r="42" spans="1:8" ht="12.75">
      <c r="A42" s="190">
        <v>32</v>
      </c>
      <c r="B42" s="190" t="s">
        <v>192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5761</v>
      </c>
    </row>
    <row r="43" spans="1:8" ht="12.75">
      <c r="A43" s="190">
        <v>33</v>
      </c>
      <c r="B43" s="190" t="s">
        <v>193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5761</v>
      </c>
    </row>
    <row r="44" spans="1:8" ht="12.75">
      <c r="A44" s="190">
        <v>34</v>
      </c>
      <c r="B44" s="190" t="s">
        <v>194</v>
      </c>
      <c r="C44" s="193">
        <v>0</v>
      </c>
      <c r="D44" s="193">
        <v>0</v>
      </c>
      <c r="E44" s="193">
        <v>0</v>
      </c>
      <c r="F44" s="193">
        <v>0</v>
      </c>
      <c r="G44" s="194">
        <f t="shared" si="0"/>
        <v>0</v>
      </c>
      <c r="H44" s="194">
        <f t="shared" si="1"/>
        <v>5761</v>
      </c>
    </row>
    <row r="45" spans="1:8" ht="12.75">
      <c r="A45" s="190" t="s">
        <v>203</v>
      </c>
      <c r="B45" s="190" t="s">
        <v>195</v>
      </c>
      <c r="C45" s="193">
        <v>0</v>
      </c>
      <c r="D45" s="193">
        <v>374</v>
      </c>
      <c r="E45" s="193">
        <v>0</v>
      </c>
      <c r="F45" s="193">
        <v>3000</v>
      </c>
      <c r="G45" s="194">
        <f t="shared" si="0"/>
        <v>3374</v>
      </c>
      <c r="H45" s="194">
        <f t="shared" si="1"/>
        <v>9135</v>
      </c>
    </row>
    <row r="46" spans="1:8" ht="12.75">
      <c r="A46" s="190">
        <v>36</v>
      </c>
      <c r="B46" s="190" t="s">
        <v>197</v>
      </c>
      <c r="C46" s="193">
        <v>0</v>
      </c>
      <c r="D46" s="193">
        <v>0</v>
      </c>
      <c r="E46" s="193">
        <v>0</v>
      </c>
      <c r="F46" s="193">
        <v>466</v>
      </c>
      <c r="G46" s="194">
        <f t="shared" si="0"/>
        <v>466</v>
      </c>
      <c r="H46" s="194">
        <f t="shared" si="1"/>
        <v>9601</v>
      </c>
    </row>
    <row r="47" spans="1:8" ht="12.75">
      <c r="A47" s="190">
        <v>37</v>
      </c>
      <c r="B47" s="190" t="s">
        <v>198</v>
      </c>
      <c r="C47" s="193">
        <v>0</v>
      </c>
      <c r="D47" s="193">
        <v>0</v>
      </c>
      <c r="E47" s="193">
        <v>0</v>
      </c>
      <c r="F47" s="193">
        <v>1212</v>
      </c>
      <c r="G47" s="194">
        <f t="shared" si="0"/>
        <v>1212</v>
      </c>
      <c r="H47" s="194">
        <f t="shared" si="1"/>
        <v>10813</v>
      </c>
    </row>
    <row r="48" spans="1:8" ht="12.75">
      <c r="A48" s="190">
        <v>38</v>
      </c>
      <c r="B48" s="190" t="s">
        <v>199</v>
      </c>
      <c r="C48" s="193">
        <v>0</v>
      </c>
      <c r="D48" s="193">
        <v>0</v>
      </c>
      <c r="E48" s="193">
        <v>0</v>
      </c>
      <c r="F48" s="193">
        <v>1327</v>
      </c>
      <c r="G48" s="194">
        <f t="shared" si="0"/>
        <v>1327</v>
      </c>
      <c r="H48" s="194">
        <f t="shared" si="1"/>
        <v>12140</v>
      </c>
    </row>
    <row r="49" spans="1:8" ht="12.75">
      <c r="A49" s="190">
        <v>39</v>
      </c>
      <c r="B49" s="190" t="s">
        <v>201</v>
      </c>
      <c r="C49" s="193">
        <v>0</v>
      </c>
      <c r="D49" s="193">
        <v>141</v>
      </c>
      <c r="E49" s="193">
        <v>0</v>
      </c>
      <c r="F49" s="193">
        <v>1081</v>
      </c>
      <c r="G49" s="194">
        <f t="shared" si="0"/>
        <v>1222</v>
      </c>
      <c r="H49" s="194">
        <f t="shared" si="1"/>
        <v>13362</v>
      </c>
    </row>
    <row r="50" spans="1:8" ht="12.75">
      <c r="A50" s="190">
        <v>40</v>
      </c>
      <c r="B50" s="190" t="s">
        <v>204</v>
      </c>
      <c r="C50" s="193">
        <v>0</v>
      </c>
      <c r="D50" s="193">
        <v>0</v>
      </c>
      <c r="E50" s="193">
        <v>0</v>
      </c>
      <c r="F50" s="193">
        <v>641</v>
      </c>
      <c r="G50" s="194">
        <f t="shared" si="0"/>
        <v>641</v>
      </c>
      <c r="H50" s="194">
        <f t="shared" si="1"/>
        <v>14003</v>
      </c>
    </row>
    <row r="51" spans="1:8" ht="12.75">
      <c r="A51" s="190">
        <v>41</v>
      </c>
      <c r="B51" s="190" t="s">
        <v>207</v>
      </c>
      <c r="C51" s="193">
        <v>0</v>
      </c>
      <c r="D51" s="193">
        <v>0</v>
      </c>
      <c r="E51" s="193">
        <v>0</v>
      </c>
      <c r="F51" s="193">
        <v>0</v>
      </c>
      <c r="G51" s="194">
        <f t="shared" si="0"/>
        <v>0</v>
      </c>
      <c r="H51" s="194">
        <f t="shared" si="1"/>
        <v>14003</v>
      </c>
    </row>
    <row r="52" spans="1:8" ht="12.75">
      <c r="A52" s="190">
        <v>42</v>
      </c>
      <c r="B52" s="190" t="s">
        <v>208</v>
      </c>
      <c r="C52" s="193">
        <v>0</v>
      </c>
      <c r="D52" s="193">
        <v>0</v>
      </c>
      <c r="E52" s="193">
        <v>0</v>
      </c>
      <c r="F52" s="193">
        <v>0</v>
      </c>
      <c r="G52" s="194">
        <f t="shared" si="0"/>
        <v>0</v>
      </c>
      <c r="H52" s="194">
        <f t="shared" si="1"/>
        <v>14003</v>
      </c>
    </row>
    <row r="53" spans="1:8" ht="12.75">
      <c r="A53" s="190">
        <v>43</v>
      </c>
      <c r="B53" s="190" t="s">
        <v>210</v>
      </c>
      <c r="C53" s="193">
        <v>0</v>
      </c>
      <c r="D53" s="193">
        <v>135</v>
      </c>
      <c r="E53" s="193">
        <v>0</v>
      </c>
      <c r="F53" s="193">
        <v>0</v>
      </c>
      <c r="G53" s="194">
        <f t="shared" si="0"/>
        <v>135</v>
      </c>
      <c r="H53" s="194">
        <f t="shared" si="1"/>
        <v>14138</v>
      </c>
    </row>
    <row r="54" spans="1:8" ht="12.75">
      <c r="A54" s="190">
        <v>44</v>
      </c>
      <c r="B54" s="190" t="s">
        <v>212</v>
      </c>
      <c r="C54" s="193">
        <v>0</v>
      </c>
      <c r="D54" s="193">
        <v>0</v>
      </c>
      <c r="E54" s="193">
        <v>0</v>
      </c>
      <c r="F54" s="193">
        <v>0</v>
      </c>
      <c r="G54" s="194">
        <f t="shared" si="0"/>
        <v>0</v>
      </c>
      <c r="H54" s="194">
        <f t="shared" si="1"/>
        <v>14138</v>
      </c>
    </row>
    <row r="55" spans="1:8" ht="12.75">
      <c r="A55" s="190">
        <v>45</v>
      </c>
      <c r="B55" s="190" t="s">
        <v>213</v>
      </c>
      <c r="C55" s="193">
        <v>0</v>
      </c>
      <c r="D55" s="193">
        <v>0</v>
      </c>
      <c r="E55" s="193">
        <v>0</v>
      </c>
      <c r="F55" s="193">
        <v>0</v>
      </c>
      <c r="G55" s="194">
        <f t="shared" si="0"/>
        <v>0</v>
      </c>
      <c r="H55" s="194">
        <f t="shared" si="1"/>
        <v>14138</v>
      </c>
    </row>
    <row r="56" spans="1:8" ht="12.75">
      <c r="A56" s="190">
        <v>46</v>
      </c>
      <c r="B56" s="190" t="s">
        <v>214</v>
      </c>
      <c r="C56" s="193">
        <v>0</v>
      </c>
      <c r="D56" s="193">
        <v>0</v>
      </c>
      <c r="E56" s="193">
        <v>0</v>
      </c>
      <c r="F56" s="193">
        <v>0</v>
      </c>
      <c r="G56" s="194">
        <f t="shared" si="0"/>
        <v>0</v>
      </c>
      <c r="H56" s="194">
        <f t="shared" si="1"/>
        <v>14138</v>
      </c>
    </row>
    <row r="57" spans="1:8" ht="12.75">
      <c r="A57" s="190">
        <v>47</v>
      </c>
      <c r="B57" s="190" t="s">
        <v>215</v>
      </c>
      <c r="C57" s="193">
        <v>0</v>
      </c>
      <c r="D57" s="193">
        <v>0</v>
      </c>
      <c r="E57" s="193">
        <v>0</v>
      </c>
      <c r="F57" s="193">
        <v>0</v>
      </c>
      <c r="G57" s="194">
        <f t="shared" si="0"/>
        <v>0</v>
      </c>
      <c r="H57" s="194">
        <f t="shared" si="1"/>
        <v>14138</v>
      </c>
    </row>
    <row r="58" spans="1:8" ht="12.75">
      <c r="A58" s="190">
        <v>48</v>
      </c>
      <c r="B58" s="190" t="s">
        <v>217</v>
      </c>
      <c r="C58" s="193">
        <v>0</v>
      </c>
      <c r="D58" s="193">
        <v>14</v>
      </c>
      <c r="E58" s="193">
        <v>429</v>
      </c>
      <c r="F58" s="193">
        <v>721</v>
      </c>
      <c r="G58" s="194">
        <f t="shared" si="0"/>
        <v>1164</v>
      </c>
      <c r="H58" s="194">
        <f t="shared" si="1"/>
        <v>15302</v>
      </c>
    </row>
    <row r="59" spans="1:8" ht="12.75">
      <c r="A59" s="190">
        <v>49</v>
      </c>
      <c r="B59" s="190" t="s">
        <v>219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15302</v>
      </c>
    </row>
    <row r="60" spans="1:8" ht="12.75">
      <c r="A60" s="190">
        <v>50</v>
      </c>
      <c r="B60" s="190" t="s">
        <v>220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15302</v>
      </c>
    </row>
    <row r="61" spans="1:8" ht="12.75">
      <c r="A61" s="190">
        <v>51</v>
      </c>
      <c r="B61" s="190" t="s">
        <v>223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15302</v>
      </c>
    </row>
    <row r="62" spans="1:8" ht="12.75">
      <c r="A62" s="190">
        <v>52</v>
      </c>
      <c r="B62" s="190" t="s">
        <v>224</v>
      </c>
      <c r="C62" s="193">
        <v>0</v>
      </c>
      <c r="D62" s="193">
        <v>0</v>
      </c>
      <c r="E62" s="193">
        <v>0</v>
      </c>
      <c r="F62" s="193">
        <v>0</v>
      </c>
      <c r="G62" s="194">
        <f t="shared" si="0"/>
        <v>0</v>
      </c>
      <c r="H62" s="194">
        <f t="shared" si="1"/>
        <v>15302</v>
      </c>
    </row>
    <row r="63" spans="1:8" ht="12.75">
      <c r="A63" s="190" t="s">
        <v>120</v>
      </c>
      <c r="B63" s="190" t="s">
        <v>121</v>
      </c>
      <c r="C63" s="194">
        <f>SUM(C11:C62)</f>
        <v>724</v>
      </c>
      <c r="D63" s="194">
        <f>SUM(D11:D62)</f>
        <v>1694</v>
      </c>
      <c r="E63" s="194">
        <f>SUM(E11:E62)</f>
        <v>3524</v>
      </c>
      <c r="F63" s="194">
        <f>SUM(F11:F62)</f>
        <v>9360</v>
      </c>
      <c r="G63" s="194">
        <f>SUM(G11:G62)</f>
        <v>15302</v>
      </c>
      <c r="H63" s="194"/>
    </row>
    <row r="64" spans="1:8" ht="12.75">
      <c r="A64" s="191"/>
      <c r="B64" s="191"/>
      <c r="C64" s="191"/>
      <c r="D64" s="191"/>
      <c r="E64" s="191"/>
      <c r="F64" s="191"/>
      <c r="G64" s="191"/>
      <c r="H64" s="191"/>
    </row>
    <row r="65" spans="1:8" ht="12.75">
      <c r="A65" t="s">
        <v>200</v>
      </c>
      <c r="G65" s="191"/>
      <c r="H65" s="19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2018-03-13T11:47:51Z</cp:lastPrinted>
  <dcterms:created xsi:type="dcterms:W3CDTF">2005-05-06T06:48:19Z</dcterms:created>
  <dcterms:modified xsi:type="dcterms:W3CDTF">2018-03-13T11:48:09Z</dcterms:modified>
  <cp:category/>
  <cp:version/>
  <cp:contentType/>
  <cp:contentStatus/>
</cp:coreProperties>
</file>