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15" windowWidth="11355" windowHeight="3330" tabRatio="883" activeTab="0"/>
  </bookViews>
  <sheets>
    <sheet name="Pryse + Sensatiwiteitsanali" sheetId="1" r:id="rId1"/>
    <sheet name="W-RR mielies Laer opbrengs " sheetId="2" r:id="rId2"/>
    <sheet name="W-RR mielies Hoer opbrengs  " sheetId="3" r:id="rId3"/>
    <sheet name="W-BT Mielies " sheetId="4" r:id="rId4"/>
    <sheet name="Stapelgeen Mielie" sheetId="5" r:id="rId5"/>
    <sheet name="Verminbe Stapelgeen mielie -5jr" sheetId="6" r:id="rId6"/>
    <sheet name="Sonneblom" sheetId="7" r:id="rId7"/>
    <sheet name="Grondbone" sheetId="8" r:id="rId8"/>
    <sheet name="Sojabone" sheetId="9" r:id="rId9"/>
    <sheet name="Graansorghum" sheetId="10" r:id="rId10"/>
    <sheet name="Bes-mielies" sheetId="11" r:id="rId11"/>
  </sheets>
  <externalReferences>
    <externalReference r:id="rId14"/>
  </externalReferences>
  <definedNames>
    <definedName name="BTopbrengspeil">'W-BT Mielies '!$M$9:$M$14</definedName>
    <definedName name="_xlnm.Print_Area" localSheetId="10">'Bes-mielies'!$A$1:$I$64</definedName>
    <definedName name="_xlnm.Print_Area" localSheetId="9">'Graansorghum'!$A$1:$I$59</definedName>
    <definedName name="_xlnm.Print_Area" localSheetId="7">'Grondbone'!$A$1:$I$65</definedName>
    <definedName name="_xlnm.Print_Area" localSheetId="8">'Sojabone'!$A$1:$I$59</definedName>
    <definedName name="_xlnm.Print_Area" localSheetId="6">'Sonneblom'!$A$1:$I$59</definedName>
    <definedName name="_xlnm.Print_Area" localSheetId="4">'Stapelgeen Mielie'!$A$1:$I$63</definedName>
    <definedName name="_xlnm.Print_Area" localSheetId="5">'Verminbe Stapelgeen mielie -5jr'!$A$1:$I$63</definedName>
    <definedName name="_xlnm.Print_Area" localSheetId="3">'W-BT Mielies '!$A$1:$I$63</definedName>
    <definedName name="_xlnm.Print_Area" localSheetId="2">'W-RR mielies Hoer opbrengs  '!$A$1:$I$63</definedName>
    <definedName name="_xlnm.Print_Area" localSheetId="1">'W-RR mielies Laer opbrengs '!$A$1:$I$67</definedName>
    <definedName name="RRHpbrengspeil">'W-RR mielies Hoer opbrengs  '!$M$9:$M$14</definedName>
    <definedName name="RRLopbrengspeil">'W-RR mielies Laer opbrengs '!$M$9:$M$14</definedName>
    <definedName name="RRopbrengspeil">'W-RR mielies Laer opbrengs '!$M$9:$M$14</definedName>
    <definedName name="RRopbrens">'[1]W-BT Mielies'!$K$9:$K$14</definedName>
    <definedName name="Sojaopbrengspeil">'Sojabone'!$M$9:$M$13</definedName>
    <definedName name="Sonopbrengspeil">'Sonneblom'!$M$9:$M$14</definedName>
    <definedName name="Sorgopbrengspeil">'Graansorghum'!$M$9:$M$13</definedName>
    <definedName name="Verminopbrengspeil">'Verminbe Stapelgeen mielie -5jr'!$M$9:$M$14</definedName>
  </definedNames>
  <calcPr fullCalcOnLoad="1"/>
</workbook>
</file>

<file path=xl/comments1.xml><?xml version="1.0" encoding="utf-8"?>
<comments xmlns="http://schemas.openxmlformats.org/spreadsheetml/2006/main">
  <authors>
    <author>Petru Fourie</author>
  </authors>
  <commentList>
    <comment ref="D3" authorId="0">
      <text>
        <r>
          <rPr>
            <b/>
            <sz val="9"/>
            <rFont val="Tahoma"/>
            <family val="2"/>
          </rPr>
          <t>Petru Fourie:</t>
        </r>
        <r>
          <rPr>
            <sz val="9"/>
            <rFont val="Tahoma"/>
            <family val="2"/>
          </rPr>
          <t xml:space="preserve">
Include location diff, marketing cost etc</t>
        </r>
      </text>
    </comment>
  </commentList>
</comments>
</file>

<file path=xl/sharedStrings.xml><?xml version="1.0" encoding="utf-8"?>
<sst xmlns="http://schemas.openxmlformats.org/spreadsheetml/2006/main" count="570" uniqueCount="130">
  <si>
    <t>OPBRENGSPEIE EN PLAASHEK PRODUSENTPRYSE</t>
  </si>
  <si>
    <t xml:space="preserve">WINS / (VERLIES) BO TOTALE KOSTE SONDER DIREKTE BEMAKINGKOSTE EN WINS R/HA BY VERSKILLENDE </t>
  </si>
  <si>
    <t>PLAASHEK PRODUSENTEPRYS R/TON VIR BESTE GRAAD</t>
  </si>
  <si>
    <t>Rand/ton</t>
  </si>
  <si>
    <t>OPBRENGS TON/HA</t>
  </si>
  <si>
    <t>GEWAS SENSITIWITEITSANALISE VIR WIT ROUNDUP READY MIELIES (Laer potensiaal)</t>
  </si>
  <si>
    <t>GEWAS SENSITIWITEITSANALISE VIR BESPROEIING MIELIES</t>
  </si>
  <si>
    <t>GEWAS SENSITIWITEITSANALISE VIR GRAANSORGHUM</t>
  </si>
  <si>
    <t>GEWAS SENSITIWITEITSANALISE VIR SOJABONE</t>
  </si>
  <si>
    <t>GEWAS SENSITIWITEITSANALISE VIR GRONDBONE</t>
  </si>
  <si>
    <t>GEWAS SENSITIWITEITSANALISE VIR SONNEBLOM</t>
  </si>
  <si>
    <t xml:space="preserve">GEWAS SENSITIWITEITSANALISE VIR VERMINDEREDE BEWERKING WIT STAPELGEEN MIELIES - 5de jaar </t>
  </si>
  <si>
    <t>GEWAS SENSITIWITEITSANALISE VIR WIT STAPELGEEN MIELIES</t>
  </si>
  <si>
    <t>GEWAS SENSITIWITEITSANALISE VIR BT WIT MIELIES</t>
  </si>
  <si>
    <t>GEWAS SENSITIWITEITSANALISE VIR WIT ROUNDUP READY MIELIES (Hoer potensiaal)</t>
  </si>
  <si>
    <t>PRODUKSIEJAAR   2016-17   PRODUCTION YEAR 2016-17</t>
  </si>
  <si>
    <t>Produsent prys raming vir droëland WIT ROUND-UP READY MIELIES (hoe potensiaal)  / Producer price framework for dry land WHITE ROUND-UP READY MAIZE (high potential)</t>
  </si>
  <si>
    <t>Produsent prys raming vir droëland WIT ROUND-UP READY MIELIES vir die / Producer price framework for dry land WHITE ROUND-UP READY MAIZE for the</t>
  </si>
  <si>
    <t xml:space="preserve">Produsent prys raming vir droëland VERMINDEREDE BEWERKING STAPELGEEN MIELIES - 5de jaar / Producer price framework for dry land MINIMUM TILLAGE STAPELGENE maize - 5 years  </t>
  </si>
  <si>
    <t>Produsent prys raming vir droëland SONNEBLOM vir die                                                    Producer price framework for dry land SUNFLOWER for the</t>
  </si>
  <si>
    <t>Produsent prys raming vir droëland GRAANSORGHUM vir die                                                                 Producer price framework for dry land GRAIN SORGHUM for the</t>
  </si>
  <si>
    <t>PRODUKSIEJAAR   2016-17                 PRODUCTION YEAR 2016-17</t>
  </si>
  <si>
    <t>PRODUKSIEJAAR   2016-17                   PRODUCTION YEAR 2016-17</t>
  </si>
  <si>
    <t>PRODUKSIEJAAR   2016-17                             PRODUCTION YEAR 2016-17</t>
  </si>
  <si>
    <t>Huidige Produkprys op plaas vir beste graad / Current product price for the best grade (R/TON) (Safex min bemarkingskoste/marketing cost)</t>
  </si>
  <si>
    <t>Beplanningsopbrengs / Estimated yields (ton/ha)</t>
  </si>
  <si>
    <t>Bruto produksiewaarde / Gross production value (R/ha)</t>
  </si>
  <si>
    <t>Direk Toedeelbare veranderlike koste / Direct Allocated Variable costs (R/ha)</t>
  </si>
  <si>
    <t>Saad / Seed</t>
  </si>
  <si>
    <t>Kunsmis / Fertiliser</t>
  </si>
  <si>
    <t>Kalk / Lime</t>
  </si>
  <si>
    <t>Brandstof / Fuel</t>
  </si>
  <si>
    <t>Reparasie / Reparation</t>
  </si>
  <si>
    <t>Onkruiddoders / Herbicide</t>
  </si>
  <si>
    <t>Plaagdoder / Pest control</t>
  </si>
  <si>
    <t>Insetversekering / Input insurance</t>
  </si>
  <si>
    <t>Graanprysverskansing / Grain hedging</t>
  </si>
  <si>
    <t>Kontrakstroop / Contract Harvesting</t>
  </si>
  <si>
    <t>Oesversekering / Harvest insurance</t>
  </si>
  <si>
    <t>Lugspuit / Aerial spray</t>
  </si>
  <si>
    <t>Losarbeid / Casual labour</t>
  </si>
  <si>
    <t>Droogkoste / Drying cost</t>
  </si>
  <si>
    <t>Verpakking en Pakmateriaal / Packaging and packaging material</t>
  </si>
  <si>
    <t>Produksiekrediet rente / Interest on production R/ha</t>
  </si>
  <si>
    <t>Totale Direk Toedeelbare veranderlike koste / Total Direct Allocated Variable Cost  (R/ha)</t>
  </si>
  <si>
    <t>Totale Oorhoofse koste / Total overhead cost R/ha</t>
  </si>
  <si>
    <t>Totale Koste per ha voor fisiese bemarking R/ha / Total cost per ha before marketing cost R/ha</t>
  </si>
  <si>
    <t>Totale koste per ton voor fisiese bemarking R/Ton / Total cost per ton before marketing cost R/Ton</t>
  </si>
  <si>
    <t>Totale bemarkingskoste / Total marketing cost R/ton</t>
  </si>
  <si>
    <t>Verwagte minimum Safex prys SONDER wins/ Expected minimum Safex price, WITHOUT profit</t>
  </si>
  <si>
    <t>Huidige Safex prys / Current Safex price</t>
  </si>
  <si>
    <t>Verwagte minimum prys SONDER wins/ Expected minimum price, WITHOUT profit</t>
  </si>
  <si>
    <t>Huidige prys / Current price (keur)</t>
  </si>
  <si>
    <t>Gemiddelde prys vir al die grade / Average price for all the grades</t>
  </si>
  <si>
    <t>Besproeiingskoste / Irrigation cost</t>
  </si>
  <si>
    <r>
      <t>Disclaimer:</t>
    </r>
    <r>
      <rPr>
        <sz val="11"/>
        <rFont val="Calibri"/>
        <family val="2"/>
      </rPr>
      <t xml:space="preserve"> The information herein has been obtained from various sources, the accuracy and/or completeness of which Grain SA does not</t>
    </r>
  </si>
  <si>
    <t>guarantee and for which Grain SA accepts no liability. Any prices or levels contained herein are preliminary and indicative only and do not</t>
  </si>
  <si>
    <t>represent bids or offers. These indications are provided solely for your information and consideration.</t>
  </si>
  <si>
    <t xml:space="preserve">                                        Thank you to the Maize Trust for partially funding this project</t>
  </si>
  <si>
    <t>Produsent prys raming vir droëland WIT STAPELGEEN MIELIES vir die  /                             Producer price framework for dry land WHITE STAPELGENE maize for the</t>
  </si>
  <si>
    <t>Produsent prys raming vir droëland GRONDBONE vir die /                                                               Producer price framework for dry land GROUNDNUTS for the</t>
  </si>
  <si>
    <t>Produsent prys raming vir droëland SOJABONE vir die                                                                              Producer price framework for dry land SOYBEANS for the</t>
  </si>
  <si>
    <t>Produsent prys raming vir BESPROEIING MIELIES vir die                                                                Producer price framework for IRRIGATION MAIZE for the</t>
  </si>
  <si>
    <t>Produsent prys raming vir droëland WIT ROUND-UP READY MIELIES (lae potensiaal)  /               Producer price framework for dry land WHITE ROUND-UP READY MAIZE (low potential)</t>
  </si>
  <si>
    <t>Gewas</t>
  </si>
  <si>
    <t>SAFEX pryse (R/ton)</t>
  </si>
  <si>
    <t>Total deductions (R/ton)</t>
  </si>
  <si>
    <t xml:space="preserve">                    Diverse</t>
  </si>
  <si>
    <t>Mielies / Maize - 2016/17</t>
  </si>
  <si>
    <t>MIELIES: SENSATIWITIETSANALISE - TOTALE KOSTES ( DIREKTE KOSTE + VASTE KOSTE)</t>
  </si>
  <si>
    <t>MIELIES: SENSATIWITIETSANALISE - DIREKTE KOSTE</t>
  </si>
  <si>
    <t>Lopendekoste / Variable cost (R/ha)</t>
  </si>
  <si>
    <t>Huidig</t>
  </si>
  <si>
    <t>Oorhoofse koste / Overhead cost (R/ha)</t>
  </si>
  <si>
    <t>SAFEX prys / price(R/ton)</t>
  </si>
  <si>
    <t>Totale Koste / Total cost (R/ha)</t>
  </si>
  <si>
    <t>Produsenteprys/ Producer price</t>
  </si>
  <si>
    <t>Opbrengs / Yield (t/ha)</t>
  </si>
  <si>
    <t>Gemid Opbrengs / Average Yield (t/ha)</t>
  </si>
  <si>
    <t>SAFEX Jul'17 WM 1 prys/price  (R/ton)</t>
  </si>
  <si>
    <t xml:space="preserve">Aftrekkings / Deductions </t>
  </si>
  <si>
    <t>Produsenteprys/ Producer price (R/ton)</t>
  </si>
  <si>
    <t>Sonneblom / Sunflower - 2016/17</t>
  </si>
  <si>
    <t>SONNEBLOM: SENSATIWITIETSANALISE - TOTALE KOSTES ( DIREKTE KOSTE + VASTE KOSTE)</t>
  </si>
  <si>
    <t>SONNEBLOM: SENSATIWITIETSANALISE - DIREKTE KOSTE</t>
  </si>
  <si>
    <t>Sojabone Soyabean - 2016/17</t>
  </si>
  <si>
    <t>SOJABONE: SENSATIWITIETSANALISE - TOTALE KOSTES ( DIREKTE KOSTE + VASTE KOSTE)</t>
  </si>
  <si>
    <t>SOJABONE: SENSATIWITIETSANALISE - DIREKTE KOSTE</t>
  </si>
  <si>
    <t>Huidige</t>
  </si>
  <si>
    <t>SAFEX Mei'17Soy prys/price  (R/ton)</t>
  </si>
  <si>
    <t xml:space="preserve">NWFS </t>
  </si>
  <si>
    <t>Sorghum Sorghum - 2016/17</t>
  </si>
  <si>
    <t>SORGHUM: SENSATIWITIETSANALISE - TOTALE KOSTES ( DIREKTE KOSTE + VASTE KOSTE)</t>
  </si>
  <si>
    <t>SORGHUM: SENSATIWITIETSANALISE - DIREKTE KOSTE</t>
  </si>
  <si>
    <t>SAFEX Jul'17 prys/price  (R/ton)</t>
  </si>
  <si>
    <t>Graadverdeling / Grade distribution</t>
  </si>
  <si>
    <t>Prys per graad / Price per grade (R/ton)</t>
  </si>
  <si>
    <t>%</t>
  </si>
  <si>
    <t>Keur / Choice</t>
  </si>
  <si>
    <t>Diverse / Diverse</t>
  </si>
  <si>
    <t xml:space="preserve">Pers (eet) / Crusch </t>
  </si>
  <si>
    <t>Pers (olie)</t>
  </si>
  <si>
    <t>Hooi verkope / sales</t>
  </si>
  <si>
    <t>Gemiddelde prys vir al die grade / Average price for all grades</t>
  </si>
  <si>
    <t>Datum opgedateer / Date updated</t>
  </si>
  <si>
    <t>SAFEX May'17 1 prys/price  (R/ton)</t>
  </si>
  <si>
    <t>BT MIELIES / BT MAIZE</t>
  </si>
  <si>
    <t>ROUNDUP READY MIELIES (Hoer potensiaal) / ROUNDUP READY MAIZE (Higher potential)</t>
  </si>
  <si>
    <t>ROUNDUP READY MIELIES (Laer potensiaal) / ROUNDUP READY MAIZE (Lower potential)</t>
  </si>
  <si>
    <t>VERMINDEREDE BEWERKING WIT STAPELGEEN MIELIES - 5de jaar / MIM TILLAGE STACK GENE MAIZE</t>
  </si>
  <si>
    <t>SOJABONE / SOYBEANS</t>
  </si>
  <si>
    <t>SONNEBLOM / SUNFLOWER</t>
  </si>
  <si>
    <t>GRAANSORGHUM / GRAIN SORGHUM</t>
  </si>
  <si>
    <t>Mielies / Maize- Jul 17</t>
  </si>
  <si>
    <t>Sonneblom / Sunflower- Mei 17</t>
  </si>
  <si>
    <t>Sojabone / Soybeans- Mei 17</t>
  </si>
  <si>
    <t>Graansorghum / Grain sorghum</t>
  </si>
  <si>
    <t>Grondbone/ Groundnuts:  Keur/ Choice</t>
  </si>
  <si>
    <t xml:space="preserve">                    Pers (eet) / Crush (eat)</t>
  </si>
  <si>
    <t xml:space="preserve">                    Pers (olie) / Crush (oil)</t>
  </si>
  <si>
    <t>Opbrengspeil</t>
  </si>
  <si>
    <t>Lopende koste</t>
  </si>
  <si>
    <t>Oorhoofse koste</t>
  </si>
  <si>
    <t>RRLMielies</t>
  </si>
  <si>
    <t>RRHMielies</t>
  </si>
  <si>
    <t>BTMielies</t>
  </si>
  <si>
    <t>VerminMielies</t>
  </si>
  <si>
    <t>Sonneblom</t>
  </si>
  <si>
    <t>Sojabone</t>
  </si>
  <si>
    <t>Sorghum</t>
  </si>
</sst>
</file>

<file path=xl/styles.xml><?xml version="1.0" encoding="utf-8"?>
<styleSheet xmlns="http://schemas.openxmlformats.org/spreadsheetml/2006/main">
  <numFmts count="4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0_)"/>
    <numFmt numFmtId="166" formatCode="0_)"/>
    <numFmt numFmtId="167" formatCode="0.000"/>
    <numFmt numFmtId="168" formatCode="mm/dd/yy"/>
    <numFmt numFmtId="169" formatCode="_(* #,##0.000000000000000_);_(* \(#,##0.000000000000000\);_(* &quot;-&quot;???????????????_);_(@_)"/>
    <numFmt numFmtId="170" formatCode="0.0"/>
    <numFmt numFmtId="171" formatCode="0.000000"/>
    <numFmt numFmtId="172" formatCode="[$-436]dd\ mmmm\ yyyy;@"/>
    <numFmt numFmtId="173" formatCode="_ * #,##0.00_ ;_ * \-#,##0.00_ ;_ * &quot;-&quot;_ ;_ @_ "/>
    <numFmt numFmtId="174" formatCode="_ * #,##0.00000_ ;_ * \-#,##0.00000_ ;_ * &quot;-&quot;_ ;_ @_ "/>
    <numFmt numFmtId="175" formatCode="0.0%"/>
    <numFmt numFmtId="176" formatCode="0.0_)"/>
    <numFmt numFmtId="177" formatCode="_ * #,##0.0_ ;_ * \-#,##0.0_ ;_ * &quot;-&quot;?_ ;_ @_ "/>
    <numFmt numFmtId="178" formatCode="_ * #,##0.000_ ;_ * \-#,##0.000_ ;_ * &quot;-&quot;???_ ;_ @_ "/>
    <numFmt numFmtId="179" formatCode="0.0000_)"/>
    <numFmt numFmtId="180" formatCode="_(* #,##0.0000_);_(* \(#,##0.0000\);_(* &quot;-&quot;??_);_(@_)"/>
    <numFmt numFmtId="181" formatCode="_(* #,##0.0_);_(* \(#,##0.0\);_(* &quot;-&quot;??_);_(@_)"/>
    <numFmt numFmtId="182" formatCode="_(* #,##0_);_(* \(#,##0\);_(* &quot;-&quot;??_);_(@_)"/>
    <numFmt numFmtId="183" formatCode="_ * #,##0.000_ ;_ * \-#,##0.000_ ;_ * &quot;-&quot;??_ ;_ @_ "/>
    <numFmt numFmtId="184" formatCode="_ * #,##0_ ;_ * \-#,##0_ ;_ * &quot;-&quot;??_ ;_ @_ "/>
    <numFmt numFmtId="185" formatCode="_ * #,##0.00_ ;_ * \-#,##0.00_ ;_ * &quot;-&quot;?_ ;_ @_ "/>
    <numFmt numFmtId="186" formatCode="#,##0.0_ ;\-#,##0.0\ "/>
    <numFmt numFmtId="187" formatCode="#,##0.0"/>
    <numFmt numFmtId="188" formatCode="_ * #,##0.000000_ ;_ * \-#,##0.000000_ ;_ * &quot;-&quot;??_ ;_ @_ "/>
    <numFmt numFmtId="189" formatCode="_ * #,##0.0000000_ ;_ * \-#,##0.0000000_ ;_ * &quot;-&quot;??_ ;_ @_ "/>
    <numFmt numFmtId="190" formatCode="_ * #,##0.00000000_ ;_ * \-#,##0.00000000_ ;_ * &quot;-&quot;??_ ;_ @_ "/>
    <numFmt numFmtId="191" formatCode="0.000_)"/>
    <numFmt numFmtId="192" formatCode="_(&quot;$&quot;* #,##0.00_);_(&quot;$&quot;* \(#,##0.00\);_(&quot;$&quot;* &quot;-&quot;??_);_(@_)"/>
    <numFmt numFmtId="193" formatCode="0.0000000"/>
    <numFmt numFmtId="194" formatCode="0.00000000"/>
    <numFmt numFmtId="195" formatCode="0.00000"/>
    <numFmt numFmtId="196" formatCode="0.0000"/>
    <numFmt numFmtId="197" formatCode="&quot;R&quot;\ #,##0.00"/>
    <numFmt numFmtId="198" formatCode="&quot;R&quot;\ #,##0.000"/>
    <numFmt numFmtId="199" formatCode="&quot;R&quot;\ #,##0.0000"/>
    <numFmt numFmtId="200" formatCode="&quot;R&quot;\ #,##0.00000"/>
    <numFmt numFmtId="201" formatCode="&quot;R&quot;\ #,##0.0"/>
    <numFmt numFmtId="202" formatCode="&quot;R&quot;\ #,##0"/>
    <numFmt numFmtId="203" formatCode="_ * #,##0.0_ ;_ * \-#,##0.0_ ;_ * &quot;-&quot;??_ ;_ @_ 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Blac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96FD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Continuous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2" fontId="1" fillId="35" borderId="15" xfId="0" applyNumberFormat="1" applyFont="1" applyFill="1" applyBorder="1" applyAlignment="1" applyProtection="1">
      <alignment/>
      <protection hidden="1"/>
    </xf>
    <xf numFmtId="0" fontId="0" fillId="35" borderId="11" xfId="0" applyFont="1" applyFill="1" applyBorder="1" applyAlignment="1" applyProtection="1">
      <alignment horizontal="centerContinuous"/>
      <protection hidden="1"/>
    </xf>
    <xf numFmtId="0" fontId="0" fillId="0" borderId="11" xfId="0" applyFont="1" applyFill="1" applyBorder="1" applyAlignment="1" applyProtection="1">
      <alignment horizontal="centerContinuous"/>
      <protection hidden="1"/>
    </xf>
    <xf numFmtId="0" fontId="0" fillId="0" borderId="16" xfId="0" applyFont="1" applyFill="1" applyBorder="1" applyAlignment="1" applyProtection="1">
      <alignment/>
      <protection hidden="1"/>
    </xf>
    <xf numFmtId="2" fontId="1" fillId="0" borderId="17" xfId="0" applyNumberFormat="1" applyFont="1" applyFill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horizontal="left"/>
      <protection hidden="1"/>
    </xf>
    <xf numFmtId="0" fontId="4" fillId="0" borderId="16" xfId="0" applyFont="1" applyFill="1" applyBorder="1" applyAlignment="1" applyProtection="1">
      <alignment horizontal="left"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165" fontId="1" fillId="36" borderId="15" xfId="0" applyNumberFormat="1" applyFont="1" applyFill="1" applyBorder="1" applyAlignment="1" applyProtection="1">
      <alignment/>
      <protection hidden="1"/>
    </xf>
    <xf numFmtId="166" fontId="1" fillId="36" borderId="15" xfId="0" applyNumberFormat="1" applyFont="1" applyFill="1" applyBorder="1" applyAlignment="1" applyProtection="1">
      <alignment horizontal="right"/>
      <protection hidden="1"/>
    </xf>
    <xf numFmtId="0" fontId="0" fillId="34" borderId="15" xfId="0" applyFont="1" applyFill="1" applyBorder="1" applyAlignment="1" applyProtection="1">
      <alignment/>
      <protection hidden="1"/>
    </xf>
    <xf numFmtId="2" fontId="1" fillId="36" borderId="17" xfId="0" applyNumberFormat="1" applyFont="1" applyFill="1" applyBorder="1" applyAlignment="1" applyProtection="1">
      <alignment/>
      <protection hidden="1"/>
    </xf>
    <xf numFmtId="2" fontId="1" fillId="34" borderId="15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/>
      <protection hidden="1"/>
    </xf>
    <xf numFmtId="164" fontId="1" fillId="35" borderId="15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33" borderId="19" xfId="0" applyFont="1" applyFill="1" applyBorder="1" applyAlignment="1" applyProtection="1">
      <alignment horizontal="centerContinuous"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Continuous"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0" fillId="35" borderId="22" xfId="0" applyFont="1" applyFill="1" applyBorder="1" applyAlignment="1" applyProtection="1">
      <alignment/>
      <protection hidden="1"/>
    </xf>
    <xf numFmtId="0" fontId="1" fillId="35" borderId="22" xfId="0" applyFont="1" applyFill="1" applyBorder="1" applyAlignment="1" applyProtection="1">
      <alignment horizontal="center" vertical="center"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0" fillId="35" borderId="14" xfId="0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1" fillId="35" borderId="23" xfId="0" applyFont="1" applyFill="1" applyBorder="1" applyAlignment="1" applyProtection="1">
      <alignment horizontal="centerContinuous"/>
      <protection hidden="1"/>
    </xf>
    <xf numFmtId="166" fontId="2" fillId="35" borderId="19" xfId="0" applyNumberFormat="1" applyFont="1" applyFill="1" applyBorder="1" applyAlignment="1" applyProtection="1">
      <alignment horizontal="center"/>
      <protection hidden="1"/>
    </xf>
    <xf numFmtId="166" fontId="2" fillId="37" borderId="19" xfId="0" applyNumberFormat="1" applyFont="1" applyFill="1" applyBorder="1" applyAlignment="1" applyProtection="1">
      <alignment horizontal="center"/>
      <protection hidden="1"/>
    </xf>
    <xf numFmtId="166" fontId="2" fillId="35" borderId="20" xfId="0" applyNumberFormat="1" applyFont="1" applyFill="1" applyBorder="1" applyAlignment="1" applyProtection="1">
      <alignment horizontal="center"/>
      <protection hidden="1"/>
    </xf>
    <xf numFmtId="165" fontId="2" fillId="35" borderId="17" xfId="0" applyNumberFormat="1" applyFont="1" applyFill="1" applyBorder="1" applyAlignment="1" applyProtection="1">
      <alignment horizontal="centerContinuous"/>
      <protection hidden="1"/>
    </xf>
    <xf numFmtId="0" fontId="2" fillId="35" borderId="17" xfId="0" applyFont="1" applyFill="1" applyBorder="1" applyAlignment="1" applyProtection="1">
      <alignment horizontal="centerContinuous"/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0" fontId="1" fillId="35" borderId="15" xfId="0" applyFont="1" applyFill="1" applyBorder="1" applyAlignment="1" applyProtection="1">
      <alignment horizontal="center"/>
      <protection hidden="1"/>
    </xf>
    <xf numFmtId="165" fontId="2" fillId="34" borderId="17" xfId="0" applyNumberFormat="1" applyFont="1" applyFill="1" applyBorder="1" applyAlignment="1" applyProtection="1">
      <alignment horizontal="centerContinuous"/>
      <protection hidden="1"/>
    </xf>
    <xf numFmtId="165" fontId="2" fillId="35" borderId="24" xfId="0" applyNumberFormat="1" applyFont="1" applyFill="1" applyBorder="1" applyAlignment="1" applyProtection="1">
      <alignment horizontal="centerContinuous"/>
      <protection hidden="1"/>
    </xf>
    <xf numFmtId="0" fontId="0" fillId="0" borderId="18" xfId="0" applyFont="1" applyFill="1" applyBorder="1" applyAlignment="1" applyProtection="1">
      <alignment/>
      <protection hidden="1"/>
    </xf>
    <xf numFmtId="43" fontId="0" fillId="0" borderId="0" xfId="0" applyNumberFormat="1" applyFont="1" applyFill="1" applyAlignment="1" applyProtection="1">
      <alignment/>
      <protection hidden="1"/>
    </xf>
    <xf numFmtId="0" fontId="1" fillId="34" borderId="11" xfId="0" applyFont="1" applyFill="1" applyBorder="1" applyAlignment="1" applyProtection="1">
      <alignment/>
      <protection hidden="1"/>
    </xf>
    <xf numFmtId="43" fontId="1" fillId="0" borderId="25" xfId="0" applyNumberFormat="1" applyFont="1" applyFill="1" applyBorder="1" applyAlignment="1" applyProtection="1">
      <alignment/>
      <protection hidden="1"/>
    </xf>
    <xf numFmtId="43" fontId="1" fillId="0" borderId="26" xfId="0" applyNumberFormat="1" applyFont="1" applyFill="1" applyBorder="1" applyAlignment="1" applyProtection="1">
      <alignment/>
      <protection hidden="1"/>
    </xf>
    <xf numFmtId="43" fontId="1" fillId="35" borderId="15" xfId="0" applyNumberFormat="1" applyFont="1" applyFill="1" applyBorder="1" applyAlignment="1" applyProtection="1">
      <alignment/>
      <protection hidden="1"/>
    </xf>
    <xf numFmtId="43" fontId="1" fillId="36" borderId="17" xfId="0" applyNumberFormat="1" applyFont="1" applyFill="1" applyBorder="1" applyAlignment="1" applyProtection="1">
      <alignment/>
      <protection hidden="1"/>
    </xf>
    <xf numFmtId="43" fontId="1" fillId="34" borderId="15" xfId="0" applyNumberFormat="1" applyFont="1" applyFill="1" applyBorder="1" applyAlignment="1" applyProtection="1">
      <alignment/>
      <protection hidden="1"/>
    </xf>
    <xf numFmtId="43" fontId="1" fillId="0" borderId="17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locked="0"/>
    </xf>
    <xf numFmtId="43" fontId="0" fillId="0" borderId="0" xfId="0" applyNumberFormat="1" applyFont="1" applyFill="1" applyBorder="1" applyAlignment="1" applyProtection="1">
      <alignment/>
      <protection hidden="1"/>
    </xf>
    <xf numFmtId="43" fontId="1" fillId="35" borderId="15" xfId="0" applyNumberFormat="1" applyFont="1" applyFill="1" applyBorder="1" applyAlignment="1" applyProtection="1">
      <alignment horizontal="right"/>
      <protection hidden="1"/>
    </xf>
    <xf numFmtId="43" fontId="0" fillId="0" borderId="11" xfId="0" applyNumberFormat="1" applyFont="1" applyFill="1" applyBorder="1" applyAlignment="1" applyProtection="1">
      <alignment horizontal="centerContinuous"/>
      <protection hidden="1"/>
    </xf>
    <xf numFmtId="43" fontId="1" fillId="0" borderId="0" xfId="0" applyNumberFormat="1" applyFont="1" applyFill="1" applyBorder="1" applyAlignment="1" applyProtection="1">
      <alignment/>
      <protection hidden="1"/>
    </xf>
    <xf numFmtId="43" fontId="1" fillId="0" borderId="21" xfId="0" applyNumberFormat="1" applyFont="1" applyFill="1" applyBorder="1" applyAlignment="1" applyProtection="1">
      <alignment/>
      <protection hidden="1"/>
    </xf>
    <xf numFmtId="43" fontId="1" fillId="34" borderId="11" xfId="0" applyNumberFormat="1" applyFont="1" applyFill="1" applyBorder="1" applyAlignment="1" applyProtection="1">
      <alignment horizontal="left"/>
      <protection hidden="1"/>
    </xf>
    <xf numFmtId="43" fontId="2" fillId="35" borderId="17" xfId="0" applyNumberFormat="1" applyFont="1" applyFill="1" applyBorder="1" applyAlignment="1" applyProtection="1">
      <alignment horizontal="centerContinuous"/>
      <protection hidden="1"/>
    </xf>
    <xf numFmtId="43" fontId="1" fillId="0" borderId="10" xfId="0" applyNumberFormat="1" applyFont="1" applyFill="1" applyBorder="1" applyAlignment="1" applyProtection="1">
      <alignment/>
      <protection hidden="1"/>
    </xf>
    <xf numFmtId="43" fontId="1" fillId="0" borderId="19" xfId="0" applyNumberFormat="1" applyFont="1" applyFill="1" applyBorder="1" applyAlignment="1" applyProtection="1">
      <alignment/>
      <protection hidden="1"/>
    </xf>
    <xf numFmtId="43" fontId="1" fillId="0" borderId="20" xfId="0" applyNumberFormat="1" applyFont="1" applyFill="1" applyBorder="1" applyAlignment="1" applyProtection="1">
      <alignment/>
      <protection hidden="1"/>
    </xf>
    <xf numFmtId="43" fontId="1" fillId="0" borderId="12" xfId="0" applyNumberFormat="1" applyFont="1" applyFill="1" applyBorder="1" applyAlignment="1" applyProtection="1">
      <alignment/>
      <protection hidden="1"/>
    </xf>
    <xf numFmtId="43" fontId="2" fillId="34" borderId="17" xfId="0" applyNumberFormat="1" applyFont="1" applyFill="1" applyBorder="1" applyAlignment="1" applyProtection="1">
      <alignment horizontal="centerContinuous"/>
      <protection hidden="1"/>
    </xf>
    <xf numFmtId="43" fontId="1" fillId="37" borderId="0" xfId="0" applyNumberFormat="1" applyFont="1" applyFill="1" applyBorder="1" applyAlignment="1" applyProtection="1">
      <alignment/>
      <protection hidden="1"/>
    </xf>
    <xf numFmtId="43" fontId="2" fillId="35" borderId="24" xfId="0" applyNumberFormat="1" applyFont="1" applyFill="1" applyBorder="1" applyAlignment="1" applyProtection="1">
      <alignment horizontal="centerContinuous"/>
      <protection hidden="1"/>
    </xf>
    <xf numFmtId="43" fontId="1" fillId="0" borderId="18" xfId="0" applyNumberFormat="1" applyFont="1" applyFill="1" applyBorder="1" applyAlignment="1" applyProtection="1">
      <alignment/>
      <protection hidden="1"/>
    </xf>
    <xf numFmtId="43" fontId="1" fillId="0" borderId="16" xfId="0" applyNumberFormat="1" applyFont="1" applyFill="1" applyBorder="1" applyAlignment="1" applyProtection="1">
      <alignment/>
      <protection hidden="1"/>
    </xf>
    <xf numFmtId="43" fontId="1" fillId="0" borderId="13" xfId="0" applyNumberFormat="1" applyFont="1" applyFill="1" applyBorder="1" applyAlignment="1" applyProtection="1">
      <alignment/>
      <protection hidden="1"/>
    </xf>
    <xf numFmtId="0" fontId="2" fillId="35" borderId="17" xfId="0" applyNumberFormat="1" applyFont="1" applyFill="1" applyBorder="1" applyAlignment="1" applyProtection="1">
      <alignment horizontal="centerContinuous"/>
      <protection hidden="1"/>
    </xf>
    <xf numFmtId="43" fontId="1" fillId="36" borderId="15" xfId="0" applyNumberFormat="1" applyFont="1" applyFill="1" applyBorder="1" applyAlignment="1" applyProtection="1">
      <alignment/>
      <protection hidden="1"/>
    </xf>
    <xf numFmtId="43" fontId="1" fillId="36" borderId="15" xfId="0" applyNumberFormat="1" applyFont="1" applyFill="1" applyBorder="1" applyAlignment="1" applyProtection="1">
      <alignment horizontal="right"/>
      <protection hidden="1"/>
    </xf>
    <xf numFmtId="43" fontId="0" fillId="34" borderId="15" xfId="0" applyNumberFormat="1" applyFont="1" applyFill="1" applyBorder="1" applyAlignment="1" applyProtection="1">
      <alignment/>
      <protection hidden="1"/>
    </xf>
    <xf numFmtId="43" fontId="1" fillId="0" borderId="11" xfId="0" applyNumberFormat="1" applyFont="1" applyFill="1" applyBorder="1" applyAlignment="1" applyProtection="1">
      <alignment horizontal="centerContinuous"/>
      <protection hidden="1"/>
    </xf>
    <xf numFmtId="43" fontId="2" fillId="0" borderId="11" xfId="0" applyNumberFormat="1" applyFont="1" applyFill="1" applyBorder="1" applyAlignment="1" applyProtection="1">
      <alignment/>
      <protection hidden="1"/>
    </xf>
    <xf numFmtId="43" fontId="1" fillId="0" borderId="11" xfId="0" applyNumberFormat="1" applyFont="1" applyFill="1" applyBorder="1" applyAlignment="1" applyProtection="1">
      <alignment horizontal="left"/>
      <protection hidden="1"/>
    </xf>
    <xf numFmtId="43" fontId="0" fillId="0" borderId="14" xfId="0" applyNumberFormat="1" applyFont="1" applyFill="1" applyBorder="1" applyAlignment="1" applyProtection="1">
      <alignment/>
      <protection hidden="1"/>
    </xf>
    <xf numFmtId="177" fontId="1" fillId="36" borderId="15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Alignment="1" applyProtection="1">
      <alignment/>
      <protection hidden="1"/>
    </xf>
    <xf numFmtId="177" fontId="2" fillId="0" borderId="0" xfId="0" applyNumberFormat="1" applyFont="1" applyFill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Continuous"/>
      <protection hidden="1"/>
    </xf>
    <xf numFmtId="43" fontId="11" fillId="35" borderId="15" xfId="0" applyNumberFormat="1" applyFont="1" applyFill="1" applyBorder="1" applyAlignment="1" applyProtection="1">
      <alignment/>
      <protection hidden="1"/>
    </xf>
    <xf numFmtId="185" fontId="1" fillId="36" borderId="15" xfId="0" applyNumberFormat="1" applyFont="1" applyFill="1" applyBorder="1" applyAlignment="1" applyProtection="1">
      <alignment/>
      <protection hidden="1"/>
    </xf>
    <xf numFmtId="43" fontId="0" fillId="0" borderId="0" xfId="0" applyNumberFormat="1" applyFont="1" applyBorder="1" applyAlignment="1" applyProtection="1">
      <alignment/>
      <protection hidden="1"/>
    </xf>
    <xf numFmtId="177" fontId="1" fillId="0" borderId="0" xfId="0" applyNumberFormat="1" applyFont="1" applyFill="1" applyBorder="1" applyAlignment="1" applyProtection="1">
      <alignment/>
      <protection hidden="1"/>
    </xf>
    <xf numFmtId="43" fontId="1" fillId="0" borderId="0" xfId="0" applyNumberFormat="1" applyFont="1" applyFill="1" applyBorder="1" applyAlignment="1" applyProtection="1">
      <alignment horizontal="right"/>
      <protection hidden="1"/>
    </xf>
    <xf numFmtId="166" fontId="1" fillId="0" borderId="0" xfId="0" applyNumberFormat="1" applyFont="1" applyFill="1" applyBorder="1" applyAlignment="1" applyProtection="1">
      <alignment horizontal="right"/>
      <protection hidden="1"/>
    </xf>
    <xf numFmtId="0" fontId="1" fillId="34" borderId="22" xfId="0" applyFont="1" applyFill="1" applyBorder="1" applyAlignment="1" applyProtection="1">
      <alignment horizontal="left"/>
      <protection hidden="1"/>
    </xf>
    <xf numFmtId="0" fontId="1" fillId="34" borderId="11" xfId="0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22" xfId="0" applyFont="1" applyFill="1" applyBorder="1" applyAlignment="1" applyProtection="1">
      <alignment horizontal="left"/>
      <protection hidden="1"/>
    </xf>
    <xf numFmtId="0" fontId="1" fillId="35" borderId="22" xfId="0" applyFont="1" applyFill="1" applyBorder="1" applyAlignment="1" applyProtection="1">
      <alignment horizontal="left"/>
      <protection hidden="1"/>
    </xf>
    <xf numFmtId="0" fontId="1" fillId="35" borderId="11" xfId="0" applyFont="1" applyFill="1" applyBorder="1" applyAlignment="1" applyProtection="1">
      <alignment horizontal="left"/>
      <protection hidden="1"/>
    </xf>
    <xf numFmtId="165" fontId="1" fillId="35" borderId="14" xfId="0" applyNumberFormat="1" applyFont="1" applyFill="1" applyBorder="1" applyAlignment="1" applyProtection="1">
      <alignment horizontal="left"/>
      <protection hidden="1"/>
    </xf>
    <xf numFmtId="0" fontId="1" fillId="0" borderId="22" xfId="70" applyFont="1" applyFill="1" applyBorder="1" applyAlignment="1" applyProtection="1">
      <alignment horizontal="left"/>
      <protection hidden="1"/>
    </xf>
    <xf numFmtId="0" fontId="1" fillId="35" borderId="22" xfId="70" applyFont="1" applyFill="1" applyBorder="1" applyAlignment="1" applyProtection="1">
      <alignment horizontal="left"/>
      <protection hidden="1"/>
    </xf>
    <xf numFmtId="0" fontId="1" fillId="0" borderId="27" xfId="70" applyFont="1" applyFill="1" applyBorder="1" applyAlignment="1" applyProtection="1">
      <alignment horizontal="left"/>
      <protection hidden="1"/>
    </xf>
    <xf numFmtId="0" fontId="1" fillId="0" borderId="12" xfId="70" applyFont="1" applyFill="1" applyBorder="1" applyAlignment="1" applyProtection="1">
      <alignment horizontal="left"/>
      <protection hidden="1"/>
    </xf>
    <xf numFmtId="0" fontId="1" fillId="0" borderId="0" xfId="70" applyFont="1" applyFill="1" applyBorder="1" applyAlignment="1" applyProtection="1">
      <alignment horizontal="left"/>
      <protection hidden="1"/>
    </xf>
    <xf numFmtId="0" fontId="1" fillId="0" borderId="28" xfId="70" applyFont="1" applyFill="1" applyBorder="1" applyAlignment="1" applyProtection="1">
      <alignment horizontal="left"/>
      <protection hidden="1"/>
    </xf>
    <xf numFmtId="0" fontId="1" fillId="0" borderId="29" xfId="70" applyFont="1" applyFill="1" applyBorder="1" applyAlignment="1" applyProtection="1">
      <alignment horizontal="left"/>
      <protection hidden="1"/>
    </xf>
    <xf numFmtId="0" fontId="1" fillId="0" borderId="30" xfId="70" applyFont="1" applyFill="1" applyBorder="1" applyAlignment="1" applyProtection="1">
      <alignment horizontal="left"/>
      <protection hidden="1"/>
    </xf>
    <xf numFmtId="0" fontId="1" fillId="36" borderId="12" xfId="70" applyFont="1" applyFill="1" applyBorder="1" applyAlignment="1" applyProtection="1">
      <alignment horizontal="left"/>
      <protection hidden="1"/>
    </xf>
    <xf numFmtId="0" fontId="1" fillId="36" borderId="0" xfId="70" applyFont="1" applyFill="1" applyBorder="1" applyAlignment="1" applyProtection="1">
      <alignment horizontal="left"/>
      <protection hidden="1"/>
    </xf>
    <xf numFmtId="0" fontId="1" fillId="34" borderId="22" xfId="70" applyFont="1" applyFill="1" applyBorder="1" applyAlignment="1" applyProtection="1">
      <alignment horizontal="left"/>
      <protection hidden="1"/>
    </xf>
    <xf numFmtId="0" fontId="1" fillId="34" borderId="11" xfId="70" applyFont="1" applyFill="1" applyBorder="1" applyAlignment="1" applyProtection="1">
      <alignment horizontal="left"/>
      <protection hidden="1"/>
    </xf>
    <xf numFmtId="0" fontId="0" fillId="34" borderId="14" xfId="70" applyFont="1" applyFill="1" applyBorder="1" applyAlignment="1" applyProtection="1">
      <alignment/>
      <protection hidden="1"/>
    </xf>
    <xf numFmtId="0" fontId="1" fillId="0" borderId="11" xfId="70" applyFont="1" applyFill="1" applyBorder="1" applyAlignment="1" applyProtection="1">
      <alignment horizontal="left"/>
      <protection hidden="1"/>
    </xf>
    <xf numFmtId="0" fontId="1" fillId="35" borderId="11" xfId="70" applyFont="1" applyFill="1" applyBorder="1" applyAlignment="1" applyProtection="1">
      <alignment horizontal="left"/>
      <protection hidden="1"/>
    </xf>
    <xf numFmtId="165" fontId="1" fillId="35" borderId="14" xfId="70" applyNumberFormat="1" applyFont="1" applyFill="1" applyBorder="1" applyAlignment="1" applyProtection="1">
      <alignment horizontal="left"/>
      <protection hidden="1"/>
    </xf>
    <xf numFmtId="0" fontId="0" fillId="0" borderId="0" xfId="70">
      <alignment/>
      <protection/>
    </xf>
    <xf numFmtId="0" fontId="12" fillId="36" borderId="10" xfId="70" applyNumberFormat="1" applyFont="1" applyFill="1" applyBorder="1" applyAlignment="1">
      <alignment vertical="center"/>
      <protection/>
    </xf>
    <xf numFmtId="0" fontId="0" fillId="36" borderId="19" xfId="70" applyNumberFormat="1" applyFont="1" applyFill="1" applyBorder="1" applyAlignment="1" applyProtection="1">
      <alignment/>
      <protection hidden="1"/>
    </xf>
    <xf numFmtId="0" fontId="0" fillId="36" borderId="20" xfId="70" applyNumberFormat="1" applyFont="1" applyFill="1" applyBorder="1" applyAlignment="1" applyProtection="1">
      <alignment/>
      <protection hidden="1"/>
    </xf>
    <xf numFmtId="0" fontId="13" fillId="36" borderId="12" xfId="70" applyNumberFormat="1" applyFont="1" applyFill="1" applyBorder="1" applyAlignment="1">
      <alignment vertical="center"/>
      <protection/>
    </xf>
    <xf numFmtId="0" fontId="0" fillId="36" borderId="0" xfId="70" applyNumberFormat="1" applyFont="1" applyFill="1" applyBorder="1" applyAlignment="1" applyProtection="1">
      <alignment/>
      <protection hidden="1"/>
    </xf>
    <xf numFmtId="0" fontId="0" fillId="36" borderId="21" xfId="70" applyNumberFormat="1" applyFont="1" applyFill="1" applyBorder="1" applyAlignment="1" applyProtection="1">
      <alignment/>
      <protection hidden="1"/>
    </xf>
    <xf numFmtId="0" fontId="13" fillId="36" borderId="18" xfId="70" applyNumberFormat="1" applyFont="1" applyFill="1" applyBorder="1" applyAlignment="1">
      <alignment vertical="center"/>
      <protection/>
    </xf>
    <xf numFmtId="0" fontId="0" fillId="36" borderId="16" xfId="70" applyNumberFormat="1" applyFont="1" applyFill="1" applyBorder="1" applyAlignment="1" applyProtection="1">
      <alignment/>
      <protection hidden="1"/>
    </xf>
    <xf numFmtId="0" fontId="0" fillId="36" borderId="13" xfId="70" applyNumberFormat="1" applyFont="1" applyFill="1" applyBorder="1" applyAlignment="1" applyProtection="1">
      <alignment/>
      <protection hidden="1"/>
    </xf>
    <xf numFmtId="0" fontId="56" fillId="0" borderId="0" xfId="95" applyFont="1">
      <alignment/>
      <protection/>
    </xf>
    <xf numFmtId="0" fontId="0" fillId="0" borderId="0" xfId="95">
      <alignment/>
      <protection/>
    </xf>
    <xf numFmtId="0" fontId="4" fillId="0" borderId="0" xfId="95" applyFont="1">
      <alignment/>
      <protection/>
    </xf>
    <xf numFmtId="0" fontId="54" fillId="16" borderId="31" xfId="73" applyFont="1" applyFill="1" applyBorder="1" applyAlignment="1">
      <alignment horizontal="center" wrapText="1"/>
      <protection/>
    </xf>
    <xf numFmtId="0" fontId="0" fillId="0" borderId="0" xfId="95" applyFill="1">
      <alignment/>
      <protection/>
    </xf>
    <xf numFmtId="0" fontId="4" fillId="0" borderId="0" xfId="95" applyFont="1" applyFill="1">
      <alignment/>
      <protection/>
    </xf>
    <xf numFmtId="0" fontId="4" fillId="0" borderId="22" xfId="95" applyFont="1" applyBorder="1">
      <alignment/>
      <protection/>
    </xf>
    <xf numFmtId="14" fontId="1" fillId="0" borderId="0" xfId="95" applyNumberFormat="1" applyFont="1" applyBorder="1">
      <alignment/>
      <protection/>
    </xf>
    <xf numFmtId="0" fontId="0" fillId="5" borderId="32" xfId="95" applyFont="1" applyFill="1" applyBorder="1" applyAlignment="1">
      <alignment horizontal="left" vertical="center"/>
      <protection/>
    </xf>
    <xf numFmtId="43" fontId="0" fillId="0" borderId="0" xfId="95" applyNumberFormat="1" applyBorder="1" applyAlignment="1">
      <alignment horizontal="center"/>
      <protection/>
    </xf>
    <xf numFmtId="0" fontId="0" fillId="0" borderId="22" xfId="95" applyFont="1" applyBorder="1" applyAlignment="1">
      <alignment horizontal="center" vertical="center" wrapText="1"/>
      <protection/>
    </xf>
    <xf numFmtId="0" fontId="0" fillId="0" borderId="11" xfId="95" applyFont="1" applyBorder="1" applyAlignment="1">
      <alignment horizontal="center" vertical="center" wrapText="1"/>
      <protection/>
    </xf>
    <xf numFmtId="0" fontId="57" fillId="36" borderId="15" xfId="95" applyFont="1" applyFill="1" applyBorder="1" applyAlignment="1">
      <alignment horizontal="center" vertical="center"/>
      <protection/>
    </xf>
    <xf numFmtId="0" fontId="58" fillId="36" borderId="15" xfId="95" applyFont="1" applyFill="1" applyBorder="1" applyAlignment="1">
      <alignment horizontal="center" vertical="center"/>
      <protection/>
    </xf>
    <xf numFmtId="0" fontId="57" fillId="36" borderId="11" xfId="95" applyFont="1" applyFill="1" applyBorder="1" applyAlignment="1">
      <alignment horizontal="center" vertical="center"/>
      <protection/>
    </xf>
    <xf numFmtId="0" fontId="0" fillId="5" borderId="27" xfId="95" applyFont="1" applyFill="1" applyBorder="1" applyAlignment="1">
      <alignment horizontal="left" vertical="center"/>
      <protection/>
    </xf>
    <xf numFmtId="0" fontId="1" fillId="36" borderId="15" xfId="95" applyFont="1" applyFill="1" applyBorder="1" applyAlignment="1">
      <alignment horizontal="center" vertical="center"/>
      <protection/>
    </xf>
    <xf numFmtId="202" fontId="57" fillId="36" borderId="15" xfId="95" applyNumberFormat="1" applyFont="1" applyFill="1" applyBorder="1" applyAlignment="1">
      <alignment horizontal="center" vertical="center"/>
      <protection/>
    </xf>
    <xf numFmtId="0" fontId="1" fillId="36" borderId="15" xfId="95" applyNumberFormat="1" applyFont="1" applyFill="1" applyBorder="1" applyAlignment="1">
      <alignment horizontal="center" vertical="center"/>
      <protection/>
    </xf>
    <xf numFmtId="0" fontId="57" fillId="36" borderId="15" xfId="95" applyNumberFormat="1" applyFont="1" applyFill="1" applyBorder="1" applyAlignment="1">
      <alignment horizontal="center" vertical="center"/>
      <protection/>
    </xf>
    <xf numFmtId="0" fontId="1" fillId="5" borderId="27" xfId="95" applyFont="1" applyFill="1" applyBorder="1" applyAlignment="1">
      <alignment horizontal="left" vertical="center"/>
      <protection/>
    </xf>
    <xf numFmtId="43" fontId="1" fillId="5" borderId="26" xfId="95" applyNumberFormat="1" applyFont="1" applyFill="1" applyBorder="1" applyAlignment="1">
      <alignment horizontal="center"/>
      <protection/>
    </xf>
    <xf numFmtId="43" fontId="1" fillId="0" borderId="0" xfId="95" applyNumberFormat="1" applyFont="1" applyBorder="1" applyAlignment="1">
      <alignment horizontal="center"/>
      <protection/>
    </xf>
    <xf numFmtId="0" fontId="1" fillId="0" borderId="23" xfId="95" applyNumberFormat="1" applyFont="1" applyBorder="1" applyAlignment="1">
      <alignment horizontal="center" vertical="center"/>
      <protection/>
    </xf>
    <xf numFmtId="202" fontId="57" fillId="0" borderId="23" xfId="95" applyNumberFormat="1" applyFont="1" applyBorder="1" applyAlignment="1">
      <alignment horizontal="center" vertical="center"/>
      <protection/>
    </xf>
    <xf numFmtId="0" fontId="57" fillId="0" borderId="23" xfId="95" applyNumberFormat="1" applyFont="1" applyBorder="1" applyAlignment="1">
      <alignment horizontal="center" vertical="center"/>
      <protection/>
    </xf>
    <xf numFmtId="0" fontId="0" fillId="0" borderId="27" xfId="95" applyFont="1" applyBorder="1" applyAlignment="1">
      <alignment horizontal="left" vertical="center"/>
      <protection/>
    </xf>
    <xf numFmtId="43" fontId="0" fillId="0" borderId="26" xfId="95" applyNumberFormat="1" applyBorder="1" applyAlignment="1">
      <alignment horizontal="center"/>
      <protection/>
    </xf>
    <xf numFmtId="170" fontId="1" fillId="0" borderId="22" xfId="95" applyNumberFormat="1" applyFont="1" applyBorder="1" applyAlignment="1">
      <alignment horizontal="center" vertical="center"/>
      <protection/>
    </xf>
    <xf numFmtId="1" fontId="1" fillId="38" borderId="33" xfId="95" applyNumberFormat="1" applyFont="1" applyFill="1" applyBorder="1" applyAlignment="1">
      <alignment horizontal="center" vertical="center"/>
      <protection/>
    </xf>
    <xf numFmtId="1" fontId="1" fillId="38" borderId="34" xfId="95" applyNumberFormat="1" applyFont="1" applyFill="1" applyBorder="1" applyAlignment="1">
      <alignment horizontal="center" vertical="center"/>
      <protection/>
    </xf>
    <xf numFmtId="1" fontId="1" fillId="39" borderId="34" xfId="95" applyNumberFormat="1" applyFont="1" applyFill="1" applyBorder="1" applyAlignment="1">
      <alignment horizontal="center" vertical="center"/>
      <protection/>
    </xf>
    <xf numFmtId="1" fontId="1" fillId="39" borderId="35" xfId="95" applyNumberFormat="1" applyFont="1" applyFill="1" applyBorder="1" applyAlignment="1">
      <alignment horizontal="center" vertical="center"/>
      <protection/>
    </xf>
    <xf numFmtId="0" fontId="0" fillId="12" borderId="27" xfId="95" applyFont="1" applyFill="1" applyBorder="1" applyAlignment="1">
      <alignment horizontal="left" vertical="center"/>
      <protection/>
    </xf>
    <xf numFmtId="1" fontId="1" fillId="38" borderId="36" xfId="95" applyNumberFormat="1" applyFont="1" applyFill="1" applyBorder="1" applyAlignment="1">
      <alignment horizontal="center" vertical="center"/>
      <protection/>
    </xf>
    <xf numFmtId="1" fontId="1" fillId="38" borderId="31" xfId="95" applyNumberFormat="1" applyFont="1" applyFill="1" applyBorder="1" applyAlignment="1">
      <alignment horizontal="center" vertical="center"/>
      <protection/>
    </xf>
    <xf numFmtId="1" fontId="1" fillId="39" borderId="31" xfId="95" applyNumberFormat="1" applyFont="1" applyFill="1" applyBorder="1" applyAlignment="1">
      <alignment horizontal="center" vertical="center"/>
      <protection/>
    </xf>
    <xf numFmtId="1" fontId="1" fillId="39" borderId="37" xfId="95" applyNumberFormat="1" applyFont="1" applyFill="1" applyBorder="1" applyAlignment="1">
      <alignment horizontal="center" vertical="center"/>
      <protection/>
    </xf>
    <xf numFmtId="170" fontId="57" fillId="0" borderId="22" xfId="95" applyNumberFormat="1" applyFont="1" applyBorder="1" applyAlignment="1">
      <alignment horizontal="center" vertical="center"/>
      <protection/>
    </xf>
    <xf numFmtId="0" fontId="0" fillId="7" borderId="27" xfId="95" applyFont="1" applyFill="1" applyBorder="1" applyAlignment="1">
      <alignment horizontal="left" vertical="center"/>
      <protection/>
    </xf>
    <xf numFmtId="202" fontId="0" fillId="7" borderId="26" xfId="95" applyNumberFormat="1" applyFill="1" applyBorder="1" applyAlignment="1">
      <alignment horizontal="center"/>
      <protection/>
    </xf>
    <xf numFmtId="0" fontId="0" fillId="7" borderId="27" xfId="95" applyFont="1" applyFill="1" applyBorder="1" applyAlignment="1">
      <alignment horizontal="left" vertical="center" wrapText="1"/>
      <protection/>
    </xf>
    <xf numFmtId="1" fontId="1" fillId="38" borderId="38" xfId="95" applyNumberFormat="1" applyFont="1" applyFill="1" applyBorder="1" applyAlignment="1">
      <alignment horizontal="center" vertical="center"/>
      <protection/>
    </xf>
    <xf numFmtId="1" fontId="1" fillId="38" borderId="39" xfId="95" applyNumberFormat="1" applyFont="1" applyFill="1" applyBorder="1" applyAlignment="1">
      <alignment horizontal="center" vertical="center"/>
      <protection/>
    </xf>
    <xf numFmtId="1" fontId="1" fillId="39" borderId="39" xfId="95" applyNumberFormat="1" applyFont="1" applyFill="1" applyBorder="1" applyAlignment="1">
      <alignment horizontal="center" vertical="center"/>
      <protection/>
    </xf>
    <xf numFmtId="1" fontId="1" fillId="39" borderId="40" xfId="95" applyNumberFormat="1" applyFont="1" applyFill="1" applyBorder="1" applyAlignment="1">
      <alignment horizontal="center" vertical="center"/>
      <protection/>
    </xf>
    <xf numFmtId="0" fontId="1" fillId="7" borderId="41" xfId="95" applyFont="1" applyFill="1" applyBorder="1" applyAlignment="1">
      <alignment horizontal="left" vertical="center" wrapText="1"/>
      <protection/>
    </xf>
    <xf numFmtId="43" fontId="1" fillId="7" borderId="42" xfId="95" applyNumberFormat="1" applyFont="1" applyFill="1" applyBorder="1" applyAlignment="1">
      <alignment horizontal="center"/>
      <protection/>
    </xf>
    <xf numFmtId="0" fontId="14" fillId="0" borderId="0" xfId="95" applyFont="1" applyBorder="1" applyAlignment="1">
      <alignment horizontal="center" vertical="center" textRotation="90" wrapText="1"/>
      <protection/>
    </xf>
    <xf numFmtId="170" fontId="14" fillId="0" borderId="0" xfId="95" applyNumberFormat="1" applyFont="1" applyBorder="1" applyAlignment="1">
      <alignment horizontal="center" vertical="center"/>
      <protection/>
    </xf>
    <xf numFmtId="1" fontId="14" fillId="0" borderId="0" xfId="95" applyNumberFormat="1" applyFont="1" applyFill="1" applyBorder="1" applyAlignment="1">
      <alignment horizontal="center" vertical="center"/>
      <protection/>
    </xf>
    <xf numFmtId="0" fontId="1" fillId="0" borderId="0" xfId="95" applyFont="1" applyFill="1" applyBorder="1" applyAlignment="1">
      <alignment horizontal="left" vertical="center" wrapText="1"/>
      <protection/>
    </xf>
    <xf numFmtId="43" fontId="1" fillId="0" borderId="0" xfId="95" applyNumberFormat="1" applyFont="1" applyFill="1" applyBorder="1" applyAlignment="1">
      <alignment horizontal="center"/>
      <protection/>
    </xf>
    <xf numFmtId="43" fontId="0" fillId="0" borderId="0" xfId="95" applyNumberFormat="1" applyFill="1" applyBorder="1" applyAlignment="1">
      <alignment horizontal="center"/>
      <protection/>
    </xf>
    <xf numFmtId="0" fontId="14" fillId="0" borderId="0" xfId="95" applyFont="1" applyFill="1" applyBorder="1" applyAlignment="1">
      <alignment horizontal="center" vertical="center" textRotation="90" wrapText="1"/>
      <protection/>
    </xf>
    <xf numFmtId="170" fontId="14" fillId="0" borderId="0" xfId="95" applyNumberFormat="1" applyFont="1" applyFill="1" applyBorder="1" applyAlignment="1">
      <alignment horizontal="center" vertical="center"/>
      <protection/>
    </xf>
    <xf numFmtId="184" fontId="1" fillId="36" borderId="15" xfId="95" applyNumberFormat="1" applyFont="1" applyFill="1" applyBorder="1" applyAlignment="1">
      <alignment horizontal="center" vertical="center"/>
      <protection/>
    </xf>
    <xf numFmtId="184" fontId="58" fillId="36" borderId="15" xfId="95" applyNumberFormat="1" applyFont="1" applyFill="1" applyBorder="1" applyAlignment="1">
      <alignment horizontal="center" vertical="center"/>
      <protection/>
    </xf>
    <xf numFmtId="184" fontId="57" fillId="36" borderId="15" xfId="95" applyNumberFormat="1" applyFont="1" applyFill="1" applyBorder="1" applyAlignment="1">
      <alignment horizontal="center" vertical="center"/>
      <protection/>
    </xf>
    <xf numFmtId="184" fontId="58" fillId="0" borderId="23" xfId="95" applyNumberFormat="1" applyFont="1" applyBorder="1" applyAlignment="1">
      <alignment horizontal="center" vertical="center"/>
      <protection/>
    </xf>
    <xf numFmtId="184" fontId="57" fillId="0" borderId="23" xfId="95" applyNumberFormat="1" applyFont="1" applyBorder="1" applyAlignment="1">
      <alignment horizontal="center" vertical="center"/>
      <protection/>
    </xf>
    <xf numFmtId="43" fontId="0" fillId="0" borderId="0" xfId="95" applyNumberFormat="1" applyBorder="1" applyAlignment="1">
      <alignment horizontal="center" vertical="center"/>
      <protection/>
    </xf>
    <xf numFmtId="0" fontId="1" fillId="0" borderId="0" xfId="95" applyFont="1" applyBorder="1" applyAlignment="1">
      <alignment horizontal="center" vertical="center"/>
      <protection/>
    </xf>
    <xf numFmtId="184" fontId="1" fillId="0" borderId="23" xfId="95" applyNumberFormat="1" applyFont="1" applyBorder="1" applyAlignment="1">
      <alignment horizontal="center" vertical="center"/>
      <protection/>
    </xf>
    <xf numFmtId="0" fontId="0" fillId="0" borderId="0" xfId="95" applyBorder="1" applyAlignment="1">
      <alignment horizontal="center" vertical="center"/>
      <protection/>
    </xf>
    <xf numFmtId="2" fontId="0" fillId="0" borderId="0" xfId="95" applyNumberFormat="1" applyBorder="1" applyAlignment="1">
      <alignment horizontal="center" vertical="center"/>
      <protection/>
    </xf>
    <xf numFmtId="197" fontId="0" fillId="7" borderId="26" xfId="95" applyNumberFormat="1" applyFill="1" applyBorder="1" applyAlignment="1">
      <alignment horizontal="center"/>
      <protection/>
    </xf>
    <xf numFmtId="43" fontId="0" fillId="0" borderId="0" xfId="95" applyNumberFormat="1" applyBorder="1" applyAlignment="1">
      <alignment horizontal="center" vertical="center" wrapText="1"/>
      <protection/>
    </xf>
    <xf numFmtId="0" fontId="54" fillId="16" borderId="31" xfId="0" applyFont="1" applyFill="1" applyBorder="1" applyAlignment="1">
      <alignment/>
    </xf>
    <xf numFmtId="0" fontId="54" fillId="0" borderId="31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202" fontId="54" fillId="0" borderId="0" xfId="0" applyNumberFormat="1" applyFont="1" applyFill="1" applyBorder="1" applyAlignment="1">
      <alignment horizontal="center"/>
    </xf>
    <xf numFmtId="14" fontId="1" fillId="0" borderId="15" xfId="95" applyNumberFormat="1" applyFont="1" applyBorder="1">
      <alignment/>
      <protection/>
    </xf>
    <xf numFmtId="202" fontId="1" fillId="7" borderId="42" xfId="95" applyNumberFormat="1" applyFont="1" applyFill="1" applyBorder="1" applyAlignment="1">
      <alignment horizontal="center"/>
      <protection/>
    </xf>
    <xf numFmtId="197" fontId="1" fillId="7" borderId="42" xfId="95" applyNumberFormat="1" applyFont="1" applyFill="1" applyBorder="1" applyAlignment="1">
      <alignment horizontal="center"/>
      <protection/>
    </xf>
    <xf numFmtId="0" fontId="1" fillId="34" borderId="14" xfId="70" applyFont="1" applyFill="1" applyBorder="1" applyAlignment="1" applyProtection="1">
      <alignment horizontal="left" vertical="center"/>
      <protection hidden="1"/>
    </xf>
    <xf numFmtId="0" fontId="1" fillId="34" borderId="14" xfId="70" applyFont="1" applyFill="1" applyBorder="1" applyAlignment="1" applyProtection="1">
      <alignment vertical="center" wrapText="1"/>
      <protection hidden="1"/>
    </xf>
    <xf numFmtId="0" fontId="0" fillId="34" borderId="14" xfId="70" applyFont="1" applyFill="1" applyBorder="1" applyAlignment="1" applyProtection="1">
      <alignment vertical="center"/>
      <protection hidden="1"/>
    </xf>
    <xf numFmtId="0" fontId="0" fillId="0" borderId="0" xfId="70" applyFont="1" applyFill="1" applyBorder="1" applyAlignment="1" applyProtection="1">
      <alignment/>
      <protection hidden="1"/>
    </xf>
    <xf numFmtId="0" fontId="0" fillId="0" borderId="0" xfId="70" applyFont="1" applyFill="1" applyAlignment="1" applyProtection="1">
      <alignment/>
      <protection hidden="1"/>
    </xf>
    <xf numFmtId="0" fontId="1" fillId="0" borderId="36" xfId="70" applyFont="1" applyFill="1" applyBorder="1" applyAlignment="1" applyProtection="1">
      <alignment horizontal="left"/>
      <protection locked="0"/>
    </xf>
    <xf numFmtId="0" fontId="1" fillId="0" borderId="31" xfId="70" applyFont="1" applyFill="1" applyBorder="1" applyAlignment="1" applyProtection="1">
      <alignment horizontal="left"/>
      <protection hidden="1"/>
    </xf>
    <xf numFmtId="43" fontId="1" fillId="0" borderId="31" xfId="70" applyNumberFormat="1" applyFont="1" applyFill="1" applyBorder="1" applyAlignment="1" applyProtection="1">
      <alignment/>
      <protection hidden="1"/>
    </xf>
    <xf numFmtId="10" fontId="2" fillId="0" borderId="31" xfId="70" applyNumberFormat="1" applyFont="1" applyFill="1" applyBorder="1" applyAlignment="1" applyProtection="1">
      <alignment horizontal="center"/>
      <protection locked="0"/>
    </xf>
    <xf numFmtId="43" fontId="1" fillId="0" borderId="37" xfId="70" applyNumberFormat="1" applyFont="1" applyFill="1" applyBorder="1" applyAlignment="1" applyProtection="1">
      <alignment/>
      <protection hidden="1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" fillId="0" borderId="44" xfId="70" applyFont="1" applyFill="1" applyBorder="1" applyAlignment="1" applyProtection="1">
      <alignment horizontal="left"/>
      <protection hidden="1"/>
    </xf>
    <xf numFmtId="43" fontId="1" fillId="0" borderId="44" xfId="70" applyNumberFormat="1" applyFont="1" applyFill="1" applyBorder="1" applyAlignment="1" applyProtection="1">
      <alignment/>
      <protection hidden="1"/>
    </xf>
    <xf numFmtId="10" fontId="2" fillId="0" borderId="44" xfId="70" applyNumberFormat="1" applyFont="1" applyFill="1" applyBorder="1" applyAlignment="1" applyProtection="1">
      <alignment horizontal="center"/>
      <protection locked="0"/>
    </xf>
    <xf numFmtId="43" fontId="1" fillId="0" borderId="45" xfId="70" applyNumberFormat="1" applyFont="1" applyFill="1" applyBorder="1" applyAlignment="1" applyProtection="1">
      <alignment/>
      <protection hidden="1"/>
    </xf>
    <xf numFmtId="43" fontId="1" fillId="34" borderId="11" xfId="70" applyNumberFormat="1" applyFont="1" applyFill="1" applyBorder="1" applyAlignment="1" applyProtection="1">
      <alignment/>
      <protection hidden="1"/>
    </xf>
    <xf numFmtId="0" fontId="1" fillId="34" borderId="11" xfId="70" applyFont="1" applyFill="1" applyBorder="1" applyAlignment="1" applyProtection="1">
      <alignment/>
      <protection hidden="1"/>
    </xf>
    <xf numFmtId="0" fontId="0" fillId="34" borderId="11" xfId="70" applyFont="1" applyFill="1" applyBorder="1" applyAlignment="1" applyProtection="1">
      <alignment/>
      <protection hidden="1"/>
    </xf>
    <xf numFmtId="0" fontId="0" fillId="0" borderId="0" xfId="73">
      <alignment/>
      <protection/>
    </xf>
    <xf numFmtId="15" fontId="0" fillId="0" borderId="0" xfId="73" applyNumberFormat="1">
      <alignment/>
      <protection/>
    </xf>
    <xf numFmtId="0" fontId="54" fillId="16" borderId="31" xfId="0" applyFont="1" applyFill="1" applyBorder="1" applyAlignment="1">
      <alignment horizontal="center" wrapText="1"/>
    </xf>
    <xf numFmtId="0" fontId="55" fillId="0" borderId="0" xfId="80" applyFont="1">
      <alignment/>
      <protection/>
    </xf>
    <xf numFmtId="43" fontId="55" fillId="0" borderId="0" xfId="80" applyNumberFormat="1" applyFont="1">
      <alignment/>
      <protection/>
    </xf>
    <xf numFmtId="43" fontId="0" fillId="5" borderId="25" xfId="96" applyNumberFormat="1" applyFill="1" applyBorder="1" applyAlignment="1">
      <alignment horizontal="center"/>
      <protection/>
    </xf>
    <xf numFmtId="202" fontId="59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95" applyProtection="1">
      <alignment/>
      <protection locked="0"/>
    </xf>
    <xf numFmtId="202" fontId="59" fillId="0" borderId="31" xfId="73" applyNumberFormat="1" applyFont="1" applyFill="1" applyBorder="1" applyAlignment="1" applyProtection="1">
      <alignment horizontal="center"/>
      <protection locked="0"/>
    </xf>
    <xf numFmtId="43" fontId="57" fillId="12" borderId="26" xfId="95" applyNumberFormat="1" applyFont="1" applyFill="1" applyBorder="1" applyAlignment="1" applyProtection="1">
      <alignment horizontal="center"/>
      <protection locked="0"/>
    </xf>
    <xf numFmtId="43" fontId="2" fillId="35" borderId="12" xfId="0" applyNumberFormat="1" applyFont="1" applyFill="1" applyBorder="1" applyAlignment="1" applyProtection="1">
      <alignment horizontal="centerContinuous"/>
      <protection hidden="1"/>
    </xf>
    <xf numFmtId="43" fontId="2" fillId="34" borderId="12" xfId="0" applyNumberFormat="1" applyFont="1" applyFill="1" applyBorder="1" applyAlignment="1" applyProtection="1">
      <alignment horizontal="centerContinuous"/>
      <protection hidden="1"/>
    </xf>
    <xf numFmtId="43" fontId="2" fillId="35" borderId="18" xfId="0" applyNumberFormat="1" applyFont="1" applyFill="1" applyBorder="1" applyAlignment="1" applyProtection="1">
      <alignment horizontal="centerContinuous"/>
      <protection hidden="1"/>
    </xf>
    <xf numFmtId="0" fontId="1" fillId="0" borderId="22" xfId="95" applyFont="1" applyBorder="1" applyAlignment="1">
      <alignment horizontal="center" vertical="center"/>
      <protection/>
    </xf>
    <xf numFmtId="0" fontId="1" fillId="0" borderId="11" xfId="95" applyFont="1" applyBorder="1" applyAlignment="1">
      <alignment horizontal="center" vertical="center"/>
      <protection/>
    </xf>
    <xf numFmtId="0" fontId="1" fillId="0" borderId="14" xfId="95" applyFont="1" applyBorder="1" applyAlignment="1">
      <alignment horizontal="center" vertical="center"/>
      <protection/>
    </xf>
    <xf numFmtId="0" fontId="1" fillId="0" borderId="22" xfId="95" applyFont="1" applyBorder="1" applyAlignment="1">
      <alignment vertical="center" wrapText="1"/>
      <protection/>
    </xf>
    <xf numFmtId="0" fontId="1" fillId="0" borderId="14" xfId="95" applyFont="1" applyBorder="1" applyAlignment="1">
      <alignment vertical="center" wrapText="1"/>
      <protection/>
    </xf>
    <xf numFmtId="0" fontId="1" fillId="0" borderId="23" xfId="95" applyFont="1" applyBorder="1" applyAlignment="1">
      <alignment horizontal="center" vertical="center" textRotation="90" wrapText="1"/>
      <protection/>
    </xf>
    <xf numFmtId="0" fontId="1" fillId="0" borderId="17" xfId="95" applyFont="1" applyBorder="1" applyAlignment="1">
      <alignment horizontal="center" vertical="center" textRotation="90" wrapText="1"/>
      <protection/>
    </xf>
    <xf numFmtId="0" fontId="1" fillId="0" borderId="24" xfId="95" applyFont="1" applyBorder="1" applyAlignment="1">
      <alignment horizontal="center" vertical="center" textRotation="90" wrapText="1"/>
      <protection/>
    </xf>
    <xf numFmtId="0" fontId="1" fillId="40" borderId="16" xfId="0" applyFont="1" applyFill="1" applyBorder="1" applyAlignment="1" applyProtection="1">
      <alignment horizontal="center" wrapText="1"/>
      <protection hidden="1"/>
    </xf>
    <xf numFmtId="0" fontId="1" fillId="34" borderId="22" xfId="70" applyFont="1" applyFill="1" applyBorder="1" applyAlignment="1" applyProtection="1">
      <alignment horizontal="left" wrapText="1" readingOrder="1"/>
      <protection hidden="1"/>
    </xf>
    <xf numFmtId="0" fontId="1" fillId="34" borderId="11" xfId="70" applyFont="1" applyFill="1" applyBorder="1" applyAlignment="1" applyProtection="1">
      <alignment horizontal="left" wrapText="1" readingOrder="1"/>
      <protection hidden="1"/>
    </xf>
    <xf numFmtId="0" fontId="1" fillId="34" borderId="14" xfId="70" applyFont="1" applyFill="1" applyBorder="1" applyAlignment="1" applyProtection="1">
      <alignment horizontal="left" wrapText="1" readingOrder="1"/>
      <protection hidden="1"/>
    </xf>
    <xf numFmtId="0" fontId="1" fillId="35" borderId="22" xfId="70" applyFont="1" applyFill="1" applyBorder="1" applyAlignment="1" applyProtection="1">
      <alignment horizontal="left" wrapText="1"/>
      <protection hidden="1"/>
    </xf>
    <xf numFmtId="0" fontId="1" fillId="35" borderId="11" xfId="70" applyFont="1" applyFill="1" applyBorder="1" applyAlignment="1" applyProtection="1">
      <alignment horizontal="left" wrapText="1"/>
      <protection hidden="1"/>
    </xf>
    <xf numFmtId="0" fontId="1" fillId="35" borderId="14" xfId="70" applyFont="1" applyFill="1" applyBorder="1" applyAlignment="1" applyProtection="1">
      <alignment horizontal="left" wrapText="1"/>
      <protection hidden="1"/>
    </xf>
    <xf numFmtId="164" fontId="1" fillId="35" borderId="22" xfId="70" applyNumberFormat="1" applyFont="1" applyFill="1" applyBorder="1" applyAlignment="1" applyProtection="1">
      <alignment horizontal="left" wrapText="1"/>
      <protection hidden="1"/>
    </xf>
    <xf numFmtId="164" fontId="1" fillId="35" borderId="11" xfId="70" applyNumberFormat="1" applyFont="1" applyFill="1" applyBorder="1" applyAlignment="1" applyProtection="1">
      <alignment horizontal="left" wrapText="1"/>
      <protection hidden="1"/>
    </xf>
    <xf numFmtId="164" fontId="1" fillId="35" borderId="14" xfId="70" applyNumberFormat="1" applyFont="1" applyFill="1" applyBorder="1" applyAlignment="1" applyProtection="1">
      <alignment horizontal="left" wrapText="1"/>
      <protection hidden="1"/>
    </xf>
    <xf numFmtId="0" fontId="55" fillId="0" borderId="0" xfId="80" applyFont="1" applyAlignment="1">
      <alignment horizontal="center"/>
      <protection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6" fillId="33" borderId="22" xfId="70" applyFont="1" applyFill="1" applyBorder="1" applyAlignment="1" applyProtection="1">
      <alignment horizontal="left" wrapText="1"/>
      <protection hidden="1"/>
    </xf>
    <xf numFmtId="0" fontId="0" fillId="0" borderId="11" xfId="70" applyBorder="1" applyAlignment="1">
      <alignment wrapText="1"/>
      <protection/>
    </xf>
    <xf numFmtId="0" fontId="6" fillId="33" borderId="11" xfId="70" applyFont="1" applyFill="1" applyBorder="1" applyAlignment="1" applyProtection="1">
      <alignment wrapText="1"/>
      <protection hidden="1"/>
    </xf>
    <xf numFmtId="0" fontId="0" fillId="0" borderId="11" xfId="70" applyBorder="1" applyAlignment="1">
      <alignment horizontal="left" wrapText="1"/>
      <protection/>
    </xf>
    <xf numFmtId="0" fontId="0" fillId="0" borderId="14" xfId="70" applyBorder="1" applyAlignment="1">
      <alignment horizontal="left" wrapText="1"/>
      <protection/>
    </xf>
    <xf numFmtId="0" fontId="1" fillId="34" borderId="22" xfId="0" applyFont="1" applyFill="1" applyBorder="1" applyAlignment="1" applyProtection="1">
      <alignment horizontal="left" wrapText="1"/>
      <protection hidden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33" borderId="22" xfId="0" applyFont="1" applyFill="1" applyBorder="1" applyAlignment="1" applyProtection="1">
      <alignment horizontal="left" wrapText="1"/>
      <protection hidden="1"/>
    </xf>
    <xf numFmtId="0" fontId="0" fillId="0" borderId="11" xfId="0" applyBorder="1" applyAlignment="1">
      <alignment wrapText="1"/>
    </xf>
    <xf numFmtId="0" fontId="6" fillId="33" borderId="11" xfId="70" applyFont="1" applyFill="1" applyBorder="1" applyAlignment="1" applyProtection="1">
      <alignment vertical="center" wrapText="1"/>
      <protection hidden="1"/>
    </xf>
    <xf numFmtId="0" fontId="1" fillId="34" borderId="22" xfId="70" applyFont="1" applyFill="1" applyBorder="1" applyAlignment="1" applyProtection="1">
      <alignment horizontal="left" wrapText="1"/>
      <protection hidden="1"/>
    </xf>
    <xf numFmtId="0" fontId="1" fillId="34" borderId="11" xfId="70" applyFont="1" applyFill="1" applyBorder="1" applyAlignment="1" applyProtection="1">
      <alignment horizontal="left" wrapText="1"/>
      <protection hidden="1"/>
    </xf>
    <xf numFmtId="0" fontId="1" fillId="34" borderId="14" xfId="70" applyFont="1" applyFill="1" applyBorder="1" applyAlignment="1" applyProtection="1">
      <alignment horizontal="left" wrapText="1"/>
      <protection hidden="1"/>
    </xf>
    <xf numFmtId="0" fontId="1" fillId="34" borderId="11" xfId="0" applyFont="1" applyFill="1" applyBorder="1" applyAlignment="1" applyProtection="1">
      <alignment horizontal="left" wrapText="1"/>
      <protection hidden="1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omma 6" xfId="52"/>
    <cellStyle name="Comma 6 2" xfId="53"/>
    <cellStyle name="Currency" xfId="54"/>
    <cellStyle name="Currency [0]" xfId="55"/>
    <cellStyle name="Currency 2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Hyperlink 2" xfId="65"/>
    <cellStyle name="Hyperlink 2 2" xfId="66"/>
    <cellStyle name="Input" xfId="67"/>
    <cellStyle name="Linked Cell" xfId="68"/>
    <cellStyle name="Neutral" xfId="69"/>
    <cellStyle name="Normal 2" xfId="70"/>
    <cellStyle name="Normal 2 2" xfId="71"/>
    <cellStyle name="Normal 2 2 2" xfId="72"/>
    <cellStyle name="Normal 2 2 3" xfId="73"/>
    <cellStyle name="Normal 2 2 4" xfId="74"/>
    <cellStyle name="Normal 2 3" xfId="75"/>
    <cellStyle name="Normal 2 4" xfId="76"/>
    <cellStyle name="Normal 2 5" xfId="77"/>
    <cellStyle name="Normal 3" xfId="78"/>
    <cellStyle name="Normal 3 2" xfId="79"/>
    <cellStyle name="Normal 3 2 2" xfId="80"/>
    <cellStyle name="Normal 3 2 3" xfId="81"/>
    <cellStyle name="Normal 3 2 4" xfId="82"/>
    <cellStyle name="Normal 3 2 4 2" xfId="83"/>
    <cellStyle name="Normal 3 3" xfId="84"/>
    <cellStyle name="Normal 3 4" xfId="85"/>
    <cellStyle name="Normal 3 5" xfId="86"/>
    <cellStyle name="Normal 4" xfId="87"/>
    <cellStyle name="Normal 4 2" xfId="88"/>
    <cellStyle name="Normal 4 2 2" xfId="89"/>
    <cellStyle name="Normal 4 2 3" xfId="90"/>
    <cellStyle name="Normal 4 3" xfId="91"/>
    <cellStyle name="Normal 5" xfId="92"/>
    <cellStyle name="Normal 5 2" xfId="93"/>
    <cellStyle name="Normal 5 3" xfId="94"/>
    <cellStyle name="Normal 6" xfId="95"/>
    <cellStyle name="Normal 6 3" xfId="96"/>
    <cellStyle name="Note" xfId="97"/>
    <cellStyle name="Output" xfId="98"/>
    <cellStyle name="Percent" xfId="99"/>
    <cellStyle name="Percent 2" xfId="100"/>
    <cellStyle name="Percent 2 2" xfId="101"/>
    <cellStyle name="Percent 2 3" xfId="102"/>
    <cellStyle name="Percent 2 3 2" xfId="103"/>
    <cellStyle name="Percent 2 3 3" xfId="104"/>
    <cellStyle name="Percent 2 3 4" xfId="105"/>
    <cellStyle name="Percent 2 4" xfId="106"/>
    <cellStyle name="Percent 2 5" xfId="107"/>
    <cellStyle name="Percent 3" xfId="108"/>
    <cellStyle name="Percent 3 2" xfId="109"/>
    <cellStyle name="Percent 4" xfId="110"/>
    <cellStyle name="Percent 4 2" xfId="111"/>
    <cellStyle name="Percent 5" xfId="112"/>
    <cellStyle name="Percent 5 2" xfId="113"/>
    <cellStyle name="Percent 5 2 2" xfId="114"/>
    <cellStyle name="Percent 5 2 3" xfId="115"/>
    <cellStyle name="Percent 5 3" xfId="116"/>
    <cellStyle name="Percent 5 3 2" xfId="117"/>
    <cellStyle name="Percent 6" xfId="118"/>
    <cellStyle name="Percent 6 2" xfId="119"/>
    <cellStyle name="Percent 7" xfId="120"/>
    <cellStyle name="Percent 7 2" xfId="121"/>
    <cellStyle name="Percent 7 3" xfId="122"/>
    <cellStyle name="Percent 7 4" xfId="123"/>
    <cellStyle name="Percent 8" xfId="124"/>
    <cellStyle name="Title" xfId="125"/>
    <cellStyle name="Total" xfId="126"/>
    <cellStyle name="Warning Text" xfId="127"/>
  </cellStyles>
  <dxfs count="4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57150</xdr:rowOff>
    </xdr:from>
    <xdr:to>
      <xdr:col>8</xdr:col>
      <xdr:colOff>647700</xdr:colOff>
      <xdr:row>2</xdr:row>
      <xdr:rowOff>85725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71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2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2680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89</xdr:row>
      <xdr:rowOff>133350</xdr:rowOff>
    </xdr:from>
    <xdr:to>
      <xdr:col>9</xdr:col>
      <xdr:colOff>914400</xdr:colOff>
      <xdr:row>95</xdr:row>
      <xdr:rowOff>66675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335375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57150</xdr:rowOff>
    </xdr:from>
    <xdr:to>
      <xdr:col>8</xdr:col>
      <xdr:colOff>723900</xdr:colOff>
      <xdr:row>2</xdr:row>
      <xdr:rowOff>76200</xdr:rowOff>
    </xdr:to>
    <xdr:pic>
      <xdr:nvPicPr>
        <xdr:cNvPr id="2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5715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60</xdr:row>
      <xdr:rowOff>19050</xdr:rowOff>
    </xdr:from>
    <xdr:to>
      <xdr:col>0</xdr:col>
      <xdr:colOff>990600</xdr:colOff>
      <xdr:row>63</xdr:row>
      <xdr:rowOff>161925</xdr:rowOff>
    </xdr:to>
    <xdr:pic>
      <xdr:nvPicPr>
        <xdr:cNvPr id="3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51572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90</xdr:row>
      <xdr:rowOff>152400</xdr:rowOff>
    </xdr:from>
    <xdr:to>
      <xdr:col>9</xdr:col>
      <xdr:colOff>866775</xdr:colOff>
      <xdr:row>98</xdr:row>
      <xdr:rowOff>0</xdr:rowOff>
    </xdr:to>
    <xdr:pic>
      <xdr:nvPicPr>
        <xdr:cNvPr id="1" name="Picture 5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16487775"/>
          <a:ext cx="809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0</xdr:row>
      <xdr:rowOff>161925</xdr:rowOff>
    </xdr:from>
    <xdr:to>
      <xdr:col>8</xdr:col>
      <xdr:colOff>657225</xdr:colOff>
      <xdr:row>2</xdr:row>
      <xdr:rowOff>142875</xdr:rowOff>
    </xdr:to>
    <xdr:pic>
      <xdr:nvPicPr>
        <xdr:cNvPr id="2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61925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3" name="Picture 6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32522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4" name="Picture 7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32522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152400</xdr:rowOff>
    </xdr:from>
    <xdr:to>
      <xdr:col>8</xdr:col>
      <xdr:colOff>647700</xdr:colOff>
      <xdr:row>2</xdr:row>
      <xdr:rowOff>219075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5240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2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39190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3" name="Picture 4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39190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28575</xdr:rowOff>
    </xdr:from>
    <xdr:to>
      <xdr:col>8</xdr:col>
      <xdr:colOff>657225</xdr:colOff>
      <xdr:row>2</xdr:row>
      <xdr:rowOff>76200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28575"/>
          <a:ext cx="457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2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3442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3" name="Picture 4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3442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114</xdr:row>
      <xdr:rowOff>28575</xdr:rowOff>
    </xdr:from>
    <xdr:to>
      <xdr:col>9</xdr:col>
      <xdr:colOff>609600</xdr:colOff>
      <xdr:row>120</xdr:row>
      <xdr:rowOff>76200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20612100"/>
          <a:ext cx="571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66675</xdr:rowOff>
    </xdr:from>
    <xdr:to>
      <xdr:col>8</xdr:col>
      <xdr:colOff>800100</xdr:colOff>
      <xdr:row>1</xdr:row>
      <xdr:rowOff>57150</xdr:rowOff>
    </xdr:to>
    <xdr:pic>
      <xdr:nvPicPr>
        <xdr:cNvPr id="2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6667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3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6871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59</xdr:row>
      <xdr:rowOff>19050</xdr:rowOff>
    </xdr:from>
    <xdr:to>
      <xdr:col>0</xdr:col>
      <xdr:colOff>990600</xdr:colOff>
      <xdr:row>62</xdr:row>
      <xdr:rowOff>161925</xdr:rowOff>
    </xdr:to>
    <xdr:pic>
      <xdr:nvPicPr>
        <xdr:cNvPr id="4" name="Picture 4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6871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112</xdr:row>
      <xdr:rowOff>95250</xdr:rowOff>
    </xdr:from>
    <xdr:to>
      <xdr:col>7</xdr:col>
      <xdr:colOff>723900</xdr:colOff>
      <xdr:row>116</xdr:row>
      <xdr:rowOff>9525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99167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38100</xdr:rowOff>
    </xdr:from>
    <xdr:to>
      <xdr:col>8</xdr:col>
      <xdr:colOff>647700</xdr:colOff>
      <xdr:row>1</xdr:row>
      <xdr:rowOff>190500</xdr:rowOff>
    </xdr:to>
    <xdr:pic>
      <xdr:nvPicPr>
        <xdr:cNvPr id="2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38100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123825</xdr:rowOff>
    </xdr:from>
    <xdr:to>
      <xdr:col>8</xdr:col>
      <xdr:colOff>704850</xdr:colOff>
      <xdr:row>2</xdr:row>
      <xdr:rowOff>57150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2382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99</xdr:row>
      <xdr:rowOff>152400</xdr:rowOff>
    </xdr:from>
    <xdr:to>
      <xdr:col>9</xdr:col>
      <xdr:colOff>885825</xdr:colOff>
      <xdr:row>106</xdr:row>
      <xdr:rowOff>85725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8040350"/>
          <a:ext cx="800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66675</xdr:rowOff>
    </xdr:from>
    <xdr:to>
      <xdr:col>8</xdr:col>
      <xdr:colOff>676275</xdr:colOff>
      <xdr:row>2</xdr:row>
      <xdr:rowOff>9525</xdr:rowOff>
    </xdr:to>
    <xdr:pic>
      <xdr:nvPicPr>
        <xdr:cNvPr id="2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6667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76200</xdr:rowOff>
    </xdr:from>
    <xdr:to>
      <xdr:col>8</xdr:col>
      <xdr:colOff>657225</xdr:colOff>
      <xdr:row>1</xdr:row>
      <xdr:rowOff>180975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76200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SA-16-17%20Noordwes%20begroting%20North%20West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yse + Sensatiwiteitsanalise"/>
      <sheetName val="W-Mielie "/>
      <sheetName val="W-BT Mielies"/>
      <sheetName val="W-Roundup R mielies "/>
      <sheetName val="Stapelgeen Mielie"/>
      <sheetName val="Sonneblom"/>
      <sheetName val="Sojabone"/>
      <sheetName val="Graansorghum"/>
      <sheetName val="Grondbone"/>
      <sheetName val="Bes-mielies"/>
    </sheetNames>
    <sheetDataSet>
      <sheetData sheetId="0">
        <row r="8">
          <cell r="B8">
            <v>12000</v>
          </cell>
          <cell r="D8">
            <v>63</v>
          </cell>
        </row>
        <row r="9">
          <cell r="B9">
            <v>8250</v>
          </cell>
        </row>
        <row r="10">
          <cell r="B10">
            <v>4000</v>
          </cell>
        </row>
        <row r="11">
          <cell r="B11">
            <v>1500</v>
          </cell>
        </row>
      </sheetData>
      <sheetData sheetId="2">
        <row r="9">
          <cell r="K9">
            <v>2.5</v>
          </cell>
        </row>
        <row r="10">
          <cell r="K10">
            <v>3</v>
          </cell>
        </row>
        <row r="11">
          <cell r="K11">
            <v>3.5</v>
          </cell>
        </row>
        <row r="12">
          <cell r="K12">
            <v>4</v>
          </cell>
        </row>
        <row r="13">
          <cell r="K13">
            <v>4.5</v>
          </cell>
        </row>
        <row r="14">
          <cell r="K1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="80" zoomScaleNormal="80" zoomScalePageLayoutView="0" workbookViewId="0" topLeftCell="A44">
      <selection activeCell="B59" sqref="B59"/>
    </sheetView>
  </sheetViews>
  <sheetFormatPr defaultColWidth="9.140625" defaultRowHeight="12.75"/>
  <cols>
    <col min="1" max="1" width="52.421875" style="142" customWidth="1"/>
    <col min="2" max="2" width="19.140625" style="142" bestFit="1" customWidth="1"/>
    <col min="3" max="3" width="3.28125" style="142" customWidth="1"/>
    <col min="4" max="4" width="23.7109375" style="142" customWidth="1"/>
    <col min="5" max="12" width="10.7109375" style="142" customWidth="1"/>
    <col min="13" max="15" width="9.140625" style="142" customWidth="1"/>
    <col min="16" max="16" width="22.7109375" style="142" customWidth="1"/>
    <col min="17" max="17" width="11.7109375" style="142" customWidth="1"/>
    <col min="18" max="26" width="9.421875" style="142" customWidth="1"/>
    <col min="27" max="16384" width="9.140625" style="142" customWidth="1"/>
  </cols>
  <sheetData>
    <row r="1" spans="1:14" s="143" customFormat="1" ht="28.5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43" customFormat="1" ht="13.5" customHeight="1">
      <c r="A2" s="235" t="s">
        <v>104</v>
      </c>
      <c r="B2" s="236">
        <v>42580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2" s="143" customFormat="1" ht="27.75" customHeight="1">
      <c r="A3" s="209" t="s">
        <v>64</v>
      </c>
      <c r="B3" s="237" t="s">
        <v>65</v>
      </c>
      <c r="C3" s="142"/>
      <c r="D3" s="144" t="s">
        <v>66</v>
      </c>
      <c r="E3" s="142"/>
      <c r="F3" s="142"/>
      <c r="G3" s="142"/>
      <c r="H3" s="142"/>
      <c r="I3" s="142"/>
      <c r="J3" s="142"/>
      <c r="K3" s="142"/>
      <c r="L3" s="142"/>
    </row>
    <row r="4" spans="1:12" s="143" customFormat="1" ht="13.5" customHeight="1">
      <c r="A4" s="210" t="s">
        <v>113</v>
      </c>
      <c r="B4" s="241">
        <v>2700</v>
      </c>
      <c r="C4" s="242"/>
      <c r="D4" s="243">
        <v>261</v>
      </c>
      <c r="E4" s="142"/>
      <c r="F4" s="142"/>
      <c r="G4" s="142"/>
      <c r="H4" s="142"/>
      <c r="I4" s="142"/>
      <c r="J4" s="142"/>
      <c r="K4" s="142"/>
      <c r="L4" s="142"/>
    </row>
    <row r="5" spans="1:14" s="143" customFormat="1" ht="13.5" customHeight="1">
      <c r="A5" s="210" t="s">
        <v>114</v>
      </c>
      <c r="B5" s="241">
        <v>6000</v>
      </c>
      <c r="C5" s="242"/>
      <c r="D5" s="243">
        <v>322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s="143" customFormat="1" ht="13.5" customHeight="1">
      <c r="A6" s="210" t="s">
        <v>115</v>
      </c>
      <c r="B6" s="241">
        <v>6200</v>
      </c>
      <c r="C6" s="242"/>
      <c r="D6" s="243">
        <v>63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s="143" customFormat="1" ht="13.5" customHeight="1">
      <c r="A7" s="210" t="s">
        <v>116</v>
      </c>
      <c r="B7" s="241">
        <v>3500</v>
      </c>
      <c r="C7" s="242"/>
      <c r="D7" s="243">
        <v>63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4" s="143" customFormat="1" ht="13.5" customHeight="1">
      <c r="A8" s="210" t="s">
        <v>117</v>
      </c>
      <c r="B8" s="241">
        <v>12000</v>
      </c>
      <c r="C8" s="242"/>
      <c r="D8" s="2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s="143" customFormat="1" ht="13.5" customHeight="1">
      <c r="A9" s="210" t="s">
        <v>67</v>
      </c>
      <c r="B9" s="241">
        <v>8250</v>
      </c>
      <c r="C9" s="242"/>
      <c r="D9" s="2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s="143" customFormat="1" ht="13.5" customHeight="1">
      <c r="A10" s="210" t="s">
        <v>118</v>
      </c>
      <c r="B10" s="241">
        <v>4000</v>
      </c>
      <c r="C10" s="242"/>
      <c r="D10" s="2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s="143" customFormat="1" ht="13.5" customHeight="1">
      <c r="A11" s="210" t="s">
        <v>119</v>
      </c>
      <c r="B11" s="241">
        <v>1500</v>
      </c>
      <c r="C11" s="242"/>
      <c r="D11" s="2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s="146" customFormat="1" ht="13.5" customHeight="1">
      <c r="A12" s="211"/>
      <c r="B12" s="212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s="143" customFormat="1" ht="13.5" customHeight="1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s="143" customFormat="1" ht="30.75" customHeight="1" thickBot="1">
      <c r="A14" s="256" t="s">
        <v>108</v>
      </c>
      <c r="B14" s="256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26" ht="20.25" customHeight="1" thickBot="1">
      <c r="A15" s="147" t="s">
        <v>68</v>
      </c>
      <c r="B15" s="213"/>
      <c r="C15" s="148"/>
      <c r="D15" s="248" t="s">
        <v>69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50"/>
      <c r="P15" s="248" t="s">
        <v>70</v>
      </c>
      <c r="Q15" s="249"/>
      <c r="R15" s="249"/>
      <c r="S15" s="249"/>
      <c r="T15" s="249"/>
      <c r="U15" s="249"/>
      <c r="V15" s="249"/>
      <c r="W15" s="249"/>
      <c r="X15" s="249"/>
      <c r="Y15" s="249"/>
      <c r="Z15" s="250"/>
    </row>
    <row r="16" spans="1:26" ht="13.5" customHeight="1" thickBot="1">
      <c r="A16" s="149" t="s">
        <v>71</v>
      </c>
      <c r="B16" s="240">
        <f>INDEX('W-RR mielies Laer opbrengs '!M9:O14,MATCH($B$20,RRLopbrengspeil,0),2)</f>
        <v>6901.164460116112</v>
      </c>
      <c r="C16" s="150"/>
      <c r="D16" s="151"/>
      <c r="E16" s="152"/>
      <c r="F16" s="153"/>
      <c r="G16" s="154"/>
      <c r="H16" s="153"/>
      <c r="I16" s="153"/>
      <c r="J16" s="153" t="s">
        <v>72</v>
      </c>
      <c r="K16" s="155"/>
      <c r="L16" s="153"/>
      <c r="M16" s="155"/>
      <c r="N16" s="153"/>
      <c r="P16" s="151"/>
      <c r="Q16" s="152"/>
      <c r="R16" s="153"/>
      <c r="S16" s="154"/>
      <c r="T16" s="153"/>
      <c r="U16" s="153"/>
      <c r="V16" s="153" t="s">
        <v>72</v>
      </c>
      <c r="W16" s="155"/>
      <c r="X16" s="153"/>
      <c r="Y16" s="155"/>
      <c r="Z16" s="153"/>
    </row>
    <row r="17" spans="1:26" ht="13.5" customHeight="1" thickBot="1">
      <c r="A17" s="156" t="s">
        <v>73</v>
      </c>
      <c r="B17" s="240">
        <f>INDEX('W-RR mielies Laer opbrengs '!M9:O14,MATCH($B$20,RRLopbrengspeil,0),3)</f>
        <v>2449.267781438091</v>
      </c>
      <c r="C17" s="150"/>
      <c r="D17" s="248" t="s">
        <v>74</v>
      </c>
      <c r="E17" s="250"/>
      <c r="F17" s="157">
        <f>G17-250</f>
        <v>1700</v>
      </c>
      <c r="G17" s="157">
        <f>H17-250</f>
        <v>1950</v>
      </c>
      <c r="H17" s="157">
        <f>I17-250</f>
        <v>2200</v>
      </c>
      <c r="I17" s="157">
        <f>J17-250</f>
        <v>2450</v>
      </c>
      <c r="J17" s="158">
        <f>B22</f>
        <v>2700</v>
      </c>
      <c r="K17" s="157">
        <f>J17+250</f>
        <v>2950</v>
      </c>
      <c r="L17" s="157">
        <f>K17+250</f>
        <v>3200</v>
      </c>
      <c r="M17" s="157">
        <f>L17+250</f>
        <v>3450</v>
      </c>
      <c r="N17" s="157">
        <f>M17+250</f>
        <v>3700</v>
      </c>
      <c r="P17" s="248" t="s">
        <v>74</v>
      </c>
      <c r="Q17" s="250"/>
      <c r="R17" s="159">
        <f>S17-250</f>
        <v>1700</v>
      </c>
      <c r="S17" s="159">
        <f>T17-250</f>
        <v>1950</v>
      </c>
      <c r="T17" s="159">
        <f>U17-250</f>
        <v>2200</v>
      </c>
      <c r="U17" s="159">
        <f>V17-250</f>
        <v>2450</v>
      </c>
      <c r="V17" s="160">
        <f>J17</f>
        <v>2700</v>
      </c>
      <c r="W17" s="159">
        <f>V17+250</f>
        <v>2950</v>
      </c>
      <c r="X17" s="159">
        <f>W17+250</f>
        <v>3200</v>
      </c>
      <c r="Y17" s="159">
        <f>X17+250</f>
        <v>3450</v>
      </c>
      <c r="Z17" s="159">
        <f>Y17+250</f>
        <v>3700</v>
      </c>
    </row>
    <row r="18" spans="1:26" ht="13.5" customHeight="1" thickBot="1">
      <c r="A18" s="161" t="s">
        <v>75</v>
      </c>
      <c r="B18" s="162">
        <f>B17+B16</f>
        <v>9350.432241554203</v>
      </c>
      <c r="C18" s="163"/>
      <c r="D18" s="251" t="s">
        <v>76</v>
      </c>
      <c r="E18" s="252"/>
      <c r="F18" s="164">
        <f aca="true" t="shared" si="0" ref="F18:N18">F17-$B$23</f>
        <v>1439</v>
      </c>
      <c r="G18" s="164">
        <f t="shared" si="0"/>
        <v>1689</v>
      </c>
      <c r="H18" s="164">
        <f t="shared" si="0"/>
        <v>1939</v>
      </c>
      <c r="I18" s="164">
        <f t="shared" si="0"/>
        <v>2189</v>
      </c>
      <c r="J18" s="165">
        <f t="shared" si="0"/>
        <v>2439</v>
      </c>
      <c r="K18" s="164">
        <f t="shared" si="0"/>
        <v>2689</v>
      </c>
      <c r="L18" s="164">
        <f t="shared" si="0"/>
        <v>2939</v>
      </c>
      <c r="M18" s="164">
        <f t="shared" si="0"/>
        <v>3189</v>
      </c>
      <c r="N18" s="164">
        <f t="shared" si="0"/>
        <v>3439</v>
      </c>
      <c r="P18" s="251" t="s">
        <v>76</v>
      </c>
      <c r="Q18" s="252"/>
      <c r="R18" s="164">
        <f aca="true" t="shared" si="1" ref="R18:Z18">R17-$B$23</f>
        <v>1439</v>
      </c>
      <c r="S18" s="164">
        <f t="shared" si="1"/>
        <v>1689</v>
      </c>
      <c r="T18" s="164">
        <f t="shared" si="1"/>
        <v>1939</v>
      </c>
      <c r="U18" s="164">
        <f t="shared" si="1"/>
        <v>2189</v>
      </c>
      <c r="V18" s="166">
        <f t="shared" si="1"/>
        <v>2439</v>
      </c>
      <c r="W18" s="164">
        <f t="shared" si="1"/>
        <v>2689</v>
      </c>
      <c r="X18" s="164">
        <f t="shared" si="1"/>
        <v>2939</v>
      </c>
      <c r="Y18" s="164">
        <f t="shared" si="1"/>
        <v>3189</v>
      </c>
      <c r="Z18" s="164">
        <f t="shared" si="1"/>
        <v>3439</v>
      </c>
    </row>
    <row r="19" spans="1:26" ht="13.5" customHeight="1" thickBot="1">
      <c r="A19" s="167"/>
      <c r="B19" s="168"/>
      <c r="C19" s="150"/>
      <c r="D19" s="253" t="s">
        <v>77</v>
      </c>
      <c r="E19" s="169">
        <f>E20-0.5</f>
        <v>2.5</v>
      </c>
      <c r="F19" s="170">
        <f>F$18-($B$18/$E19)</f>
        <v>-2301.172896621681</v>
      </c>
      <c r="G19" s="171">
        <f aca="true" t="shared" si="2" ref="F19:N23">G$18-($B$18/$E19)</f>
        <v>-2051.172896621681</v>
      </c>
      <c r="H19" s="171">
        <f t="shared" si="2"/>
        <v>-1801.172896621681</v>
      </c>
      <c r="I19" s="171">
        <f t="shared" si="2"/>
        <v>-1551.172896621681</v>
      </c>
      <c r="J19" s="171">
        <f t="shared" si="2"/>
        <v>-1301.172896621681</v>
      </c>
      <c r="K19" s="171">
        <f t="shared" si="2"/>
        <v>-1051.172896621681</v>
      </c>
      <c r="L19" s="171">
        <f t="shared" si="2"/>
        <v>-801.172896621681</v>
      </c>
      <c r="M19" s="172">
        <f t="shared" si="2"/>
        <v>-551.172896621681</v>
      </c>
      <c r="N19" s="173">
        <f t="shared" si="2"/>
        <v>-301.17289662168105</v>
      </c>
      <c r="P19" s="253" t="s">
        <v>77</v>
      </c>
      <c r="Q19" s="169">
        <f>Q20-0.5</f>
        <v>2.5</v>
      </c>
      <c r="R19" s="170">
        <f>R$18-($B$16/$E19)</f>
        <v>-1321.4657840464452</v>
      </c>
      <c r="S19" s="170">
        <f aca="true" t="shared" si="3" ref="S19:Z23">S$18-($B$16/$E19)</f>
        <v>-1071.4657840464452</v>
      </c>
      <c r="T19" s="170">
        <f t="shared" si="3"/>
        <v>-821.4657840464452</v>
      </c>
      <c r="U19" s="170">
        <f t="shared" si="3"/>
        <v>-571.4657840464452</v>
      </c>
      <c r="V19" s="170">
        <f t="shared" si="3"/>
        <v>-321.46578404644515</v>
      </c>
      <c r="W19" s="170">
        <f t="shared" si="3"/>
        <v>-71.46578404644515</v>
      </c>
      <c r="X19" s="170">
        <f t="shared" si="3"/>
        <v>178.53421595355485</v>
      </c>
      <c r="Y19" s="170">
        <f t="shared" si="3"/>
        <v>428.53421595355485</v>
      </c>
      <c r="Z19" s="170">
        <f t="shared" si="3"/>
        <v>678.5342159535548</v>
      </c>
    </row>
    <row r="20" spans="1:26" ht="13.5" customHeight="1" thickBot="1">
      <c r="A20" s="174" t="s">
        <v>78</v>
      </c>
      <c r="B20" s="244">
        <v>3.5</v>
      </c>
      <c r="C20" s="150"/>
      <c r="D20" s="254"/>
      <c r="E20" s="169">
        <f>E21-0.5</f>
        <v>3</v>
      </c>
      <c r="F20" s="175">
        <f t="shared" si="2"/>
        <v>-1677.8107471847343</v>
      </c>
      <c r="G20" s="176">
        <f t="shared" si="2"/>
        <v>-1427.8107471847343</v>
      </c>
      <c r="H20" s="176">
        <f t="shared" si="2"/>
        <v>-1177.8107471847343</v>
      </c>
      <c r="I20" s="176">
        <f t="shared" si="2"/>
        <v>-927.8107471847343</v>
      </c>
      <c r="J20" s="176">
        <f t="shared" si="2"/>
        <v>-677.8107471847343</v>
      </c>
      <c r="K20" s="177">
        <f t="shared" si="2"/>
        <v>-427.8107471847343</v>
      </c>
      <c r="L20" s="177">
        <f t="shared" si="2"/>
        <v>-177.81074718473428</v>
      </c>
      <c r="M20" s="177">
        <f t="shared" si="2"/>
        <v>72.18925281526572</v>
      </c>
      <c r="N20" s="178">
        <f t="shared" si="2"/>
        <v>322.1892528152657</v>
      </c>
      <c r="P20" s="254"/>
      <c r="Q20" s="169">
        <f>Q21-0.5</f>
        <v>3</v>
      </c>
      <c r="R20" s="170">
        <f>R$18-($B$16/$E20)</f>
        <v>-861.3881533720373</v>
      </c>
      <c r="S20" s="170">
        <f t="shared" si="3"/>
        <v>-611.3881533720373</v>
      </c>
      <c r="T20" s="170">
        <f t="shared" si="3"/>
        <v>-361.3881533720373</v>
      </c>
      <c r="U20" s="170">
        <f t="shared" si="3"/>
        <v>-111.38815337203732</v>
      </c>
      <c r="V20" s="170">
        <f t="shared" si="3"/>
        <v>138.61184662796268</v>
      </c>
      <c r="W20" s="170">
        <f t="shared" si="3"/>
        <v>388.6118466279627</v>
      </c>
      <c r="X20" s="170">
        <f t="shared" si="3"/>
        <v>638.6118466279627</v>
      </c>
      <c r="Y20" s="170">
        <f t="shared" si="3"/>
        <v>888.6118466279627</v>
      </c>
      <c r="Z20" s="170">
        <f t="shared" si="3"/>
        <v>1138.6118466279627</v>
      </c>
    </row>
    <row r="21" spans="1:26" ht="13.5" customHeight="1" thickBot="1">
      <c r="A21" s="167"/>
      <c r="B21" s="168"/>
      <c r="C21" s="150"/>
      <c r="D21" s="254"/>
      <c r="E21" s="179">
        <f>B20</f>
        <v>3.5</v>
      </c>
      <c r="F21" s="175">
        <f t="shared" si="2"/>
        <v>-1232.5520690154867</v>
      </c>
      <c r="G21" s="176">
        <f t="shared" si="2"/>
        <v>-982.5520690154867</v>
      </c>
      <c r="H21" s="176">
        <f>H$18-($B$18/$E21)</f>
        <v>-732.5520690154867</v>
      </c>
      <c r="I21" s="176">
        <f t="shared" si="2"/>
        <v>-482.5520690154867</v>
      </c>
      <c r="J21" s="177">
        <f t="shared" si="2"/>
        <v>-232.55206901548672</v>
      </c>
      <c r="K21" s="177">
        <f t="shared" si="2"/>
        <v>17.447930984513278</v>
      </c>
      <c r="L21" s="177">
        <f t="shared" si="2"/>
        <v>267.4479309845133</v>
      </c>
      <c r="M21" s="177">
        <f t="shared" si="2"/>
        <v>517.4479309845133</v>
      </c>
      <c r="N21" s="178">
        <f t="shared" si="2"/>
        <v>767.4479309845133</v>
      </c>
      <c r="P21" s="254"/>
      <c r="Q21" s="179">
        <f>E21</f>
        <v>3.5</v>
      </c>
      <c r="R21" s="170">
        <f>R$18-($B$16/$E21)</f>
        <v>-532.7612743188893</v>
      </c>
      <c r="S21" s="170">
        <f>S$18-($B$16/$E21)</f>
        <v>-282.76127431888926</v>
      </c>
      <c r="T21" s="170">
        <f t="shared" si="3"/>
        <v>-32.761274318889264</v>
      </c>
      <c r="U21" s="170">
        <f t="shared" si="3"/>
        <v>217.23872568111074</v>
      </c>
      <c r="V21" s="170">
        <f t="shared" si="3"/>
        <v>467.23872568111074</v>
      </c>
      <c r="W21" s="170">
        <f t="shared" si="3"/>
        <v>717.2387256811107</v>
      </c>
      <c r="X21" s="170">
        <f t="shared" si="3"/>
        <v>967.2387256811107</v>
      </c>
      <c r="Y21" s="170">
        <f t="shared" si="3"/>
        <v>1217.2387256811107</v>
      </c>
      <c r="Z21" s="170">
        <f t="shared" si="3"/>
        <v>1467.2387256811107</v>
      </c>
    </row>
    <row r="22" spans="1:26" ht="13.5" customHeight="1" thickBot="1">
      <c r="A22" s="180" t="s">
        <v>79</v>
      </c>
      <c r="B22" s="181">
        <f>$B$4</f>
        <v>2700</v>
      </c>
      <c r="C22" s="150"/>
      <c r="D22" s="254"/>
      <c r="E22" s="169">
        <f>E21+0.5</f>
        <v>4</v>
      </c>
      <c r="F22" s="175">
        <f t="shared" si="2"/>
        <v>-898.6080603885507</v>
      </c>
      <c r="G22" s="176">
        <f t="shared" si="2"/>
        <v>-648.6080603885507</v>
      </c>
      <c r="H22" s="176">
        <f t="shared" si="2"/>
        <v>-398.6080603885507</v>
      </c>
      <c r="I22" s="177">
        <f t="shared" si="2"/>
        <v>-148.6080603885507</v>
      </c>
      <c r="J22" s="177">
        <f t="shared" si="2"/>
        <v>101.39193961144929</v>
      </c>
      <c r="K22" s="177">
        <f t="shared" si="2"/>
        <v>351.3919396114493</v>
      </c>
      <c r="L22" s="177">
        <f t="shared" si="2"/>
        <v>601.3919396114493</v>
      </c>
      <c r="M22" s="177">
        <f t="shared" si="2"/>
        <v>851.3919396114493</v>
      </c>
      <c r="N22" s="178">
        <f t="shared" si="2"/>
        <v>1101.3919396114493</v>
      </c>
      <c r="P22" s="254"/>
      <c r="Q22" s="169">
        <f>Q21+0.5</f>
        <v>4</v>
      </c>
      <c r="R22" s="170">
        <f>R$18-($B$16/$E22)</f>
        <v>-286.2911150290281</v>
      </c>
      <c r="S22" s="170">
        <f t="shared" si="3"/>
        <v>-36.291115029028106</v>
      </c>
      <c r="T22" s="170">
        <f t="shared" si="3"/>
        <v>213.7088849709719</v>
      </c>
      <c r="U22" s="170">
        <f t="shared" si="3"/>
        <v>463.7088849709719</v>
      </c>
      <c r="V22" s="170">
        <f t="shared" si="3"/>
        <v>713.7088849709719</v>
      </c>
      <c r="W22" s="170">
        <f t="shared" si="3"/>
        <v>963.7088849709719</v>
      </c>
      <c r="X22" s="170">
        <f t="shared" si="3"/>
        <v>1213.708884970972</v>
      </c>
      <c r="Y22" s="170">
        <f t="shared" si="3"/>
        <v>1463.708884970972</v>
      </c>
      <c r="Z22" s="170">
        <f t="shared" si="3"/>
        <v>1713.708884970972</v>
      </c>
    </row>
    <row r="23" spans="1:26" ht="13.5" customHeight="1" thickBot="1">
      <c r="A23" s="182" t="s">
        <v>80</v>
      </c>
      <c r="B23" s="181">
        <f>D4</f>
        <v>261</v>
      </c>
      <c r="C23" s="150"/>
      <c r="D23" s="255"/>
      <c r="E23" s="169">
        <f>E22+0.5</f>
        <v>4.5</v>
      </c>
      <c r="F23" s="183">
        <f t="shared" si="2"/>
        <v>-638.8738314564894</v>
      </c>
      <c r="G23" s="184">
        <f t="shared" si="2"/>
        <v>-388.87383145648937</v>
      </c>
      <c r="H23" s="185">
        <f t="shared" si="2"/>
        <v>-138.87383145648937</v>
      </c>
      <c r="I23" s="185">
        <f t="shared" si="2"/>
        <v>111.12616854351063</v>
      </c>
      <c r="J23" s="185">
        <f t="shared" si="2"/>
        <v>361.12616854351063</v>
      </c>
      <c r="K23" s="185">
        <f t="shared" si="2"/>
        <v>611.1261685435106</v>
      </c>
      <c r="L23" s="185">
        <f t="shared" si="2"/>
        <v>861.1261685435106</v>
      </c>
      <c r="M23" s="185">
        <f t="shared" si="2"/>
        <v>1111.1261685435106</v>
      </c>
      <c r="N23" s="186">
        <f t="shared" si="2"/>
        <v>1361.1261685435106</v>
      </c>
      <c r="P23" s="255"/>
      <c r="Q23" s="169">
        <f>Q22+0.5</f>
        <v>4.5</v>
      </c>
      <c r="R23" s="170">
        <f>R$18-($B$16/$E23)</f>
        <v>-94.59210224802496</v>
      </c>
      <c r="S23" s="170">
        <f>S$18-($B$16/$E23)</f>
        <v>155.40789775197504</v>
      </c>
      <c r="T23" s="170">
        <f t="shared" si="3"/>
        <v>405.40789775197504</v>
      </c>
      <c r="U23" s="170">
        <f t="shared" si="3"/>
        <v>655.407897751975</v>
      </c>
      <c r="V23" s="170">
        <f t="shared" si="3"/>
        <v>905.407897751975</v>
      </c>
      <c r="W23" s="170">
        <f t="shared" si="3"/>
        <v>1155.407897751975</v>
      </c>
      <c r="X23" s="170">
        <f t="shared" si="3"/>
        <v>1405.407897751975</v>
      </c>
      <c r="Y23" s="170">
        <f t="shared" si="3"/>
        <v>1655.407897751975</v>
      </c>
      <c r="Z23" s="170">
        <f t="shared" si="3"/>
        <v>1905.407897751975</v>
      </c>
    </row>
    <row r="24" spans="1:24" ht="13.5" customHeight="1" thickBot="1">
      <c r="A24" s="187" t="s">
        <v>81</v>
      </c>
      <c r="B24" s="188">
        <f>B22-B23</f>
        <v>2439</v>
      </c>
      <c r="C24" s="150"/>
      <c r="D24" s="189"/>
      <c r="E24" s="190"/>
      <c r="F24" s="191"/>
      <c r="G24" s="191"/>
      <c r="H24" s="191"/>
      <c r="I24" s="191"/>
      <c r="J24" s="191"/>
      <c r="K24" s="191"/>
      <c r="L24" s="191"/>
      <c r="P24" s="189"/>
      <c r="Q24" s="190"/>
      <c r="R24" s="191"/>
      <c r="S24" s="191"/>
      <c r="T24" s="191"/>
      <c r="U24" s="191"/>
      <c r="V24" s="191"/>
      <c r="W24" s="191"/>
      <c r="X24" s="191"/>
    </row>
    <row r="25" spans="1:24" s="145" customFormat="1" ht="13.5" customHeight="1">
      <c r="A25" s="192"/>
      <c r="B25" s="193"/>
      <c r="C25" s="194"/>
      <c r="D25" s="195"/>
      <c r="E25" s="196"/>
      <c r="F25" s="191"/>
      <c r="G25" s="191"/>
      <c r="H25" s="191"/>
      <c r="I25" s="191"/>
      <c r="J25" s="191"/>
      <c r="K25" s="191"/>
      <c r="L25" s="191"/>
      <c r="P25" s="195"/>
      <c r="Q25" s="196"/>
      <c r="R25" s="191"/>
      <c r="S25" s="191"/>
      <c r="T25" s="191"/>
      <c r="U25" s="191"/>
      <c r="V25" s="191"/>
      <c r="W25" s="191"/>
      <c r="X25" s="191"/>
    </row>
    <row r="26" spans="1:24" ht="13.5" customHeight="1">
      <c r="A26" s="192"/>
      <c r="B26" s="193"/>
      <c r="C26" s="150"/>
      <c r="D26" s="189"/>
      <c r="E26" s="190"/>
      <c r="F26" s="191"/>
      <c r="G26" s="191"/>
      <c r="H26" s="191"/>
      <c r="I26" s="191"/>
      <c r="J26" s="191"/>
      <c r="K26" s="191"/>
      <c r="L26" s="191"/>
      <c r="P26" s="189"/>
      <c r="Q26" s="190"/>
      <c r="R26" s="191"/>
      <c r="S26" s="191"/>
      <c r="T26" s="191"/>
      <c r="U26" s="191"/>
      <c r="V26" s="191"/>
      <c r="W26" s="191"/>
      <c r="X26" s="191"/>
    </row>
    <row r="27" spans="1:14" s="143" customFormat="1" ht="33.75" customHeight="1" thickBot="1">
      <c r="A27" s="256" t="s">
        <v>107</v>
      </c>
      <c r="B27" s="256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26" ht="20.25" customHeight="1" thickBot="1">
      <c r="A28" s="147" t="s">
        <v>68</v>
      </c>
      <c r="B28" s="213"/>
      <c r="C28" s="148"/>
      <c r="D28" s="248" t="s">
        <v>69</v>
      </c>
      <c r="E28" s="249"/>
      <c r="F28" s="249"/>
      <c r="G28" s="249"/>
      <c r="H28" s="249"/>
      <c r="I28" s="249"/>
      <c r="J28" s="249"/>
      <c r="K28" s="249"/>
      <c r="L28" s="249"/>
      <c r="M28" s="249"/>
      <c r="N28" s="250"/>
      <c r="P28" s="248" t="s">
        <v>70</v>
      </c>
      <c r="Q28" s="249"/>
      <c r="R28" s="249"/>
      <c r="S28" s="249"/>
      <c r="T28" s="249"/>
      <c r="U28" s="249"/>
      <c r="V28" s="249"/>
      <c r="W28" s="249"/>
      <c r="X28" s="249"/>
      <c r="Y28" s="249"/>
      <c r="Z28" s="250"/>
    </row>
    <row r="29" spans="1:26" ht="13.5" customHeight="1" thickBot="1">
      <c r="A29" s="149" t="s">
        <v>71</v>
      </c>
      <c r="B29" s="240">
        <f>INDEX('W-RR mielies Hoer opbrengs  '!M9:O14,MATCH($B$33,RRHpbrengspeil,0),2)</f>
        <v>10186.287174754576</v>
      </c>
      <c r="C29" s="150"/>
      <c r="D29" s="151"/>
      <c r="E29" s="152"/>
      <c r="F29" s="153"/>
      <c r="G29" s="154"/>
      <c r="H29" s="153"/>
      <c r="I29" s="153"/>
      <c r="J29" s="153" t="s">
        <v>72</v>
      </c>
      <c r="K29" s="155"/>
      <c r="L29" s="153"/>
      <c r="M29" s="155"/>
      <c r="N29" s="153"/>
      <c r="P29" s="151"/>
      <c r="Q29" s="152"/>
      <c r="R29" s="153"/>
      <c r="S29" s="154"/>
      <c r="T29" s="153"/>
      <c r="U29" s="153"/>
      <c r="V29" s="153" t="s">
        <v>72</v>
      </c>
      <c r="W29" s="155"/>
      <c r="X29" s="153"/>
      <c r="Y29" s="155"/>
      <c r="Z29" s="153"/>
    </row>
    <row r="30" spans="1:26" ht="13.5" customHeight="1" thickBot="1">
      <c r="A30" s="156" t="s">
        <v>73</v>
      </c>
      <c r="B30" s="240">
        <f>INDEX('W-RR mielies Hoer opbrengs  '!M9:O14,MATCH($B$33,RRHpbrengspeil,0),3)</f>
        <v>2598.215781438091</v>
      </c>
      <c r="C30" s="150"/>
      <c r="D30" s="248" t="s">
        <v>74</v>
      </c>
      <c r="E30" s="250"/>
      <c r="F30" s="157">
        <f>G30-250</f>
        <v>1700</v>
      </c>
      <c r="G30" s="157">
        <f>H30-250</f>
        <v>1950</v>
      </c>
      <c r="H30" s="157">
        <f>I30-250</f>
        <v>2200</v>
      </c>
      <c r="I30" s="157">
        <f>J30-250</f>
        <v>2450</v>
      </c>
      <c r="J30" s="158">
        <f>B35</f>
        <v>2700</v>
      </c>
      <c r="K30" s="157">
        <f>J30+250</f>
        <v>2950</v>
      </c>
      <c r="L30" s="157">
        <f>K30+250</f>
        <v>3200</v>
      </c>
      <c r="M30" s="157">
        <f>L30+250</f>
        <v>3450</v>
      </c>
      <c r="N30" s="157">
        <f>M30+250</f>
        <v>3700</v>
      </c>
      <c r="P30" s="248" t="s">
        <v>74</v>
      </c>
      <c r="Q30" s="250"/>
      <c r="R30" s="159">
        <f>S30-250</f>
        <v>1700</v>
      </c>
      <c r="S30" s="159">
        <f>T30-250</f>
        <v>1950</v>
      </c>
      <c r="T30" s="159">
        <f>U30-250</f>
        <v>2200</v>
      </c>
      <c r="U30" s="159">
        <f>V30-250</f>
        <v>2450</v>
      </c>
      <c r="V30" s="160">
        <f>J30</f>
        <v>2700</v>
      </c>
      <c r="W30" s="159">
        <f>V30+250</f>
        <v>2950</v>
      </c>
      <c r="X30" s="159">
        <f>W30+250</f>
        <v>3200</v>
      </c>
      <c r="Y30" s="159">
        <f>X30+250</f>
        <v>3450</v>
      </c>
      <c r="Z30" s="159">
        <f>Y30+250</f>
        <v>3700</v>
      </c>
    </row>
    <row r="31" spans="1:26" ht="13.5" customHeight="1" thickBot="1">
      <c r="A31" s="161" t="s">
        <v>75</v>
      </c>
      <c r="B31" s="162">
        <f>B30+B29</f>
        <v>12784.502956192668</v>
      </c>
      <c r="C31" s="163"/>
      <c r="D31" s="251" t="s">
        <v>76</v>
      </c>
      <c r="E31" s="252"/>
      <c r="F31" s="164">
        <f aca="true" t="shared" si="4" ref="F31:N31">F30-$B$23</f>
        <v>1439</v>
      </c>
      <c r="G31" s="164">
        <f t="shared" si="4"/>
        <v>1689</v>
      </c>
      <c r="H31" s="164">
        <f t="shared" si="4"/>
        <v>1939</v>
      </c>
      <c r="I31" s="164">
        <f t="shared" si="4"/>
        <v>2189</v>
      </c>
      <c r="J31" s="165">
        <f t="shared" si="4"/>
        <v>2439</v>
      </c>
      <c r="K31" s="164">
        <f t="shared" si="4"/>
        <v>2689</v>
      </c>
      <c r="L31" s="164">
        <f t="shared" si="4"/>
        <v>2939</v>
      </c>
      <c r="M31" s="164">
        <f t="shared" si="4"/>
        <v>3189</v>
      </c>
      <c r="N31" s="164">
        <f t="shared" si="4"/>
        <v>3439</v>
      </c>
      <c r="P31" s="251" t="s">
        <v>76</v>
      </c>
      <c r="Q31" s="252"/>
      <c r="R31" s="164">
        <f aca="true" t="shared" si="5" ref="R31:Z31">R30-$B$23</f>
        <v>1439</v>
      </c>
      <c r="S31" s="164">
        <f t="shared" si="5"/>
        <v>1689</v>
      </c>
      <c r="T31" s="164">
        <f t="shared" si="5"/>
        <v>1939</v>
      </c>
      <c r="U31" s="164">
        <f t="shared" si="5"/>
        <v>2189</v>
      </c>
      <c r="V31" s="166">
        <f t="shared" si="5"/>
        <v>2439</v>
      </c>
      <c r="W31" s="164">
        <f t="shared" si="5"/>
        <v>2689</v>
      </c>
      <c r="X31" s="164">
        <f t="shared" si="5"/>
        <v>2939</v>
      </c>
      <c r="Y31" s="164">
        <f t="shared" si="5"/>
        <v>3189</v>
      </c>
      <c r="Z31" s="164">
        <f t="shared" si="5"/>
        <v>3439</v>
      </c>
    </row>
    <row r="32" spans="1:26" ht="13.5" customHeight="1" thickBot="1">
      <c r="A32" s="167"/>
      <c r="B32" s="168"/>
      <c r="C32" s="150"/>
      <c r="D32" s="253" t="s">
        <v>77</v>
      </c>
      <c r="E32" s="169">
        <f>E33-0.5</f>
        <v>6.25</v>
      </c>
      <c r="F32" s="170">
        <f aca="true" t="shared" si="6" ref="F32:N36">F$31-($B$31/$E32)</f>
        <v>-606.5204729908269</v>
      </c>
      <c r="G32" s="170">
        <f t="shared" si="6"/>
        <v>-356.5204729908269</v>
      </c>
      <c r="H32" s="170">
        <f t="shared" si="6"/>
        <v>-106.52047299082687</v>
      </c>
      <c r="I32" s="170">
        <f t="shared" si="6"/>
        <v>143.47952700917313</v>
      </c>
      <c r="J32" s="170">
        <f t="shared" si="6"/>
        <v>393.4795270091731</v>
      </c>
      <c r="K32" s="170">
        <f t="shared" si="6"/>
        <v>643.4795270091731</v>
      </c>
      <c r="L32" s="170">
        <f t="shared" si="6"/>
        <v>893.4795270091731</v>
      </c>
      <c r="M32" s="170">
        <f t="shared" si="6"/>
        <v>1143.4795270091731</v>
      </c>
      <c r="N32" s="170">
        <f t="shared" si="6"/>
        <v>1393.4795270091731</v>
      </c>
      <c r="P32" s="253" t="s">
        <v>77</v>
      </c>
      <c r="Q32" s="169">
        <f>Q33-0.5</f>
        <v>6.25</v>
      </c>
      <c r="R32" s="170">
        <f aca="true" t="shared" si="7" ref="R32:Z36">R$31-($B$29/$E32)</f>
        <v>-190.80594796073206</v>
      </c>
      <c r="S32" s="170">
        <f t="shared" si="7"/>
        <v>59.194052039267945</v>
      </c>
      <c r="T32" s="170">
        <f t="shared" si="7"/>
        <v>309.19405203926794</v>
      </c>
      <c r="U32" s="170">
        <f t="shared" si="7"/>
        <v>559.194052039268</v>
      </c>
      <c r="V32" s="170">
        <f t="shared" si="7"/>
        <v>809.194052039268</v>
      </c>
      <c r="W32" s="170">
        <f t="shared" si="7"/>
        <v>1059.194052039268</v>
      </c>
      <c r="X32" s="170">
        <f t="shared" si="7"/>
        <v>1309.194052039268</v>
      </c>
      <c r="Y32" s="170">
        <f t="shared" si="7"/>
        <v>1559.194052039268</v>
      </c>
      <c r="Z32" s="170">
        <f t="shared" si="7"/>
        <v>1809.194052039268</v>
      </c>
    </row>
    <row r="33" spans="1:26" ht="13.5" customHeight="1" thickBot="1">
      <c r="A33" s="174" t="s">
        <v>78</v>
      </c>
      <c r="B33" s="244">
        <f>'W-RR mielies Hoer opbrengs  '!G5</f>
        <v>7.25</v>
      </c>
      <c r="C33" s="150"/>
      <c r="D33" s="254"/>
      <c r="E33" s="169">
        <f>E34-0.5</f>
        <v>6.75</v>
      </c>
      <c r="F33" s="170">
        <f t="shared" si="6"/>
        <v>-455.00043795446936</v>
      </c>
      <c r="G33" s="170">
        <f t="shared" si="6"/>
        <v>-205.00043795446936</v>
      </c>
      <c r="H33" s="170">
        <f t="shared" si="6"/>
        <v>44.99956204553064</v>
      </c>
      <c r="I33" s="170">
        <f t="shared" si="6"/>
        <v>294.99956204553064</v>
      </c>
      <c r="J33" s="170">
        <f t="shared" si="6"/>
        <v>544.9995620455306</v>
      </c>
      <c r="K33" s="170">
        <f t="shared" si="6"/>
        <v>794.9995620455306</v>
      </c>
      <c r="L33" s="170">
        <f t="shared" si="6"/>
        <v>1044.9995620455306</v>
      </c>
      <c r="M33" s="170">
        <f t="shared" si="6"/>
        <v>1294.9995620455306</v>
      </c>
      <c r="N33" s="170">
        <f t="shared" si="6"/>
        <v>1544.9995620455306</v>
      </c>
      <c r="P33" s="254"/>
      <c r="Q33" s="169">
        <f>Q34-0.5</f>
        <v>6.75</v>
      </c>
      <c r="R33" s="170">
        <f t="shared" si="7"/>
        <v>-70.07958144512236</v>
      </c>
      <c r="S33" s="170">
        <f t="shared" si="7"/>
        <v>179.92041855487764</v>
      </c>
      <c r="T33" s="170">
        <f t="shared" si="7"/>
        <v>429.92041855487764</v>
      </c>
      <c r="U33" s="170">
        <f t="shared" si="7"/>
        <v>679.9204185548776</v>
      </c>
      <c r="V33" s="170">
        <f t="shared" si="7"/>
        <v>929.9204185548776</v>
      </c>
      <c r="W33" s="170">
        <f t="shared" si="7"/>
        <v>1179.9204185548776</v>
      </c>
      <c r="X33" s="170">
        <f t="shared" si="7"/>
        <v>1429.9204185548776</v>
      </c>
      <c r="Y33" s="170">
        <f t="shared" si="7"/>
        <v>1679.9204185548776</v>
      </c>
      <c r="Z33" s="170">
        <f t="shared" si="7"/>
        <v>1929.9204185548776</v>
      </c>
    </row>
    <row r="34" spans="1:26" ht="13.5" customHeight="1" thickBot="1">
      <c r="A34" s="167"/>
      <c r="B34" s="168"/>
      <c r="C34" s="150"/>
      <c r="D34" s="254"/>
      <c r="E34" s="179">
        <f>B33</f>
        <v>7.25</v>
      </c>
      <c r="F34" s="170">
        <f t="shared" si="6"/>
        <v>-324.3797180955403</v>
      </c>
      <c r="G34" s="170">
        <f t="shared" si="6"/>
        <v>-74.37971809554028</v>
      </c>
      <c r="H34" s="170">
        <f t="shared" si="6"/>
        <v>175.62028190445972</v>
      </c>
      <c r="I34" s="170">
        <f t="shared" si="6"/>
        <v>425.6202819044597</v>
      </c>
      <c r="J34" s="170">
        <f t="shared" si="6"/>
        <v>675.6202819044597</v>
      </c>
      <c r="K34" s="170">
        <f t="shared" si="6"/>
        <v>925.6202819044597</v>
      </c>
      <c r="L34" s="170">
        <f t="shared" si="6"/>
        <v>1175.6202819044597</v>
      </c>
      <c r="M34" s="170">
        <f t="shared" si="6"/>
        <v>1425.6202819044597</v>
      </c>
      <c r="N34" s="170">
        <f t="shared" si="6"/>
        <v>1675.6202819044597</v>
      </c>
      <c r="P34" s="254"/>
      <c r="Q34" s="179">
        <f>E34</f>
        <v>7.25</v>
      </c>
      <c r="R34" s="170">
        <f t="shared" si="7"/>
        <v>33.99487244764464</v>
      </c>
      <c r="S34" s="170">
        <f t="shared" si="7"/>
        <v>283.99487244764464</v>
      </c>
      <c r="T34" s="170">
        <f t="shared" si="7"/>
        <v>533.9948724476446</v>
      </c>
      <c r="U34" s="170">
        <f t="shared" si="7"/>
        <v>783.9948724476446</v>
      </c>
      <c r="V34" s="170">
        <f t="shared" si="7"/>
        <v>1033.9948724476446</v>
      </c>
      <c r="W34" s="170">
        <f t="shared" si="7"/>
        <v>1283.9948724476446</v>
      </c>
      <c r="X34" s="170">
        <f t="shared" si="7"/>
        <v>1533.9948724476446</v>
      </c>
      <c r="Y34" s="170">
        <f t="shared" si="7"/>
        <v>1783.9948724476446</v>
      </c>
      <c r="Z34" s="170">
        <f t="shared" si="7"/>
        <v>2033.9948724476446</v>
      </c>
    </row>
    <row r="35" spans="1:26" ht="13.5" customHeight="1" thickBot="1">
      <c r="A35" s="180" t="s">
        <v>79</v>
      </c>
      <c r="B35" s="181">
        <f>B4</f>
        <v>2700</v>
      </c>
      <c r="C35" s="150"/>
      <c r="D35" s="254"/>
      <c r="E35" s="169">
        <f>E34+0.5</f>
        <v>7.75</v>
      </c>
      <c r="F35" s="170">
        <f t="shared" si="6"/>
        <v>-210.61328467002159</v>
      </c>
      <c r="G35" s="170">
        <f t="shared" si="6"/>
        <v>39.386715329978415</v>
      </c>
      <c r="H35" s="170">
        <f t="shared" si="6"/>
        <v>289.3867153299784</v>
      </c>
      <c r="I35" s="170">
        <f t="shared" si="6"/>
        <v>539.3867153299784</v>
      </c>
      <c r="J35" s="170">
        <f t="shared" si="6"/>
        <v>789.3867153299784</v>
      </c>
      <c r="K35" s="170">
        <f t="shared" si="6"/>
        <v>1039.3867153299784</v>
      </c>
      <c r="L35" s="170">
        <f t="shared" si="6"/>
        <v>1289.3867153299784</v>
      </c>
      <c r="M35" s="170">
        <f t="shared" si="6"/>
        <v>1539.3867153299784</v>
      </c>
      <c r="N35" s="170">
        <f t="shared" si="6"/>
        <v>1789.3867153299784</v>
      </c>
      <c r="P35" s="254"/>
      <c r="Q35" s="169">
        <f>Q34+0.5</f>
        <v>7.75</v>
      </c>
      <c r="R35" s="170">
        <f t="shared" si="7"/>
        <v>124.64036454779671</v>
      </c>
      <c r="S35" s="170">
        <f t="shared" si="7"/>
        <v>374.6403645477967</v>
      </c>
      <c r="T35" s="170">
        <f t="shared" si="7"/>
        <v>624.6403645477967</v>
      </c>
      <c r="U35" s="170">
        <f t="shared" si="7"/>
        <v>874.6403645477967</v>
      </c>
      <c r="V35" s="170">
        <f t="shared" si="7"/>
        <v>1124.6403645477967</v>
      </c>
      <c r="W35" s="170">
        <f t="shared" si="7"/>
        <v>1374.6403645477967</v>
      </c>
      <c r="X35" s="170">
        <f t="shared" si="7"/>
        <v>1624.6403645477967</v>
      </c>
      <c r="Y35" s="170">
        <f t="shared" si="7"/>
        <v>1874.6403645477967</v>
      </c>
      <c r="Z35" s="170">
        <f t="shared" si="7"/>
        <v>2124.6403645477967</v>
      </c>
    </row>
    <row r="36" spans="1:26" ht="13.5" customHeight="1" thickBot="1">
      <c r="A36" s="182" t="s">
        <v>80</v>
      </c>
      <c r="B36" s="181">
        <f>D4</f>
        <v>261</v>
      </c>
      <c r="C36" s="150"/>
      <c r="D36" s="255"/>
      <c r="E36" s="169">
        <f>E35+0.5</f>
        <v>8.25</v>
      </c>
      <c r="F36" s="170">
        <f>F$31-($B$31/$E36)</f>
        <v>-110.63672196274752</v>
      </c>
      <c r="G36" s="170">
        <f t="shared" si="6"/>
        <v>139.36327803725248</v>
      </c>
      <c r="H36" s="170">
        <f t="shared" si="6"/>
        <v>389.3632780372525</v>
      </c>
      <c r="I36" s="170">
        <f t="shared" si="6"/>
        <v>639.3632780372525</v>
      </c>
      <c r="J36" s="170">
        <f t="shared" si="6"/>
        <v>889.3632780372525</v>
      </c>
      <c r="K36" s="170">
        <f t="shared" si="6"/>
        <v>1139.3632780372525</v>
      </c>
      <c r="L36" s="170">
        <f t="shared" si="6"/>
        <v>1389.3632780372525</v>
      </c>
      <c r="M36" s="170">
        <f t="shared" si="6"/>
        <v>1639.3632780372525</v>
      </c>
      <c r="N36" s="170">
        <f t="shared" si="6"/>
        <v>1889.3632780372525</v>
      </c>
      <c r="P36" s="255"/>
      <c r="Q36" s="169">
        <f>Q35+0.5</f>
        <v>8.25</v>
      </c>
      <c r="R36" s="170">
        <f>R$31-($B$29/$E36)</f>
        <v>204.2985242721727</v>
      </c>
      <c r="S36" s="170">
        <f t="shared" si="7"/>
        <v>454.2985242721727</v>
      </c>
      <c r="T36" s="170">
        <f t="shared" si="7"/>
        <v>704.2985242721727</v>
      </c>
      <c r="U36" s="170">
        <f t="shared" si="7"/>
        <v>954.2985242721727</v>
      </c>
      <c r="V36" s="170">
        <f t="shared" si="7"/>
        <v>1204.2985242721727</v>
      </c>
      <c r="W36" s="170">
        <f t="shared" si="7"/>
        <v>1454.2985242721727</v>
      </c>
      <c r="X36" s="170">
        <f t="shared" si="7"/>
        <v>1704.2985242721727</v>
      </c>
      <c r="Y36" s="170">
        <f t="shared" si="7"/>
        <v>1954.2985242721727</v>
      </c>
      <c r="Z36" s="170">
        <f t="shared" si="7"/>
        <v>2204.2985242721725</v>
      </c>
    </row>
    <row r="37" spans="1:24" ht="13.5" customHeight="1" thickBot="1">
      <c r="A37" s="187" t="s">
        <v>81</v>
      </c>
      <c r="B37" s="214">
        <f>B35-B36</f>
        <v>2439</v>
      </c>
      <c r="C37" s="150"/>
      <c r="D37" s="189"/>
      <c r="E37" s="190"/>
      <c r="F37" s="191"/>
      <c r="G37" s="191"/>
      <c r="H37" s="191"/>
      <c r="I37" s="191"/>
      <c r="J37" s="191"/>
      <c r="K37" s="191"/>
      <c r="L37" s="191"/>
      <c r="P37" s="189"/>
      <c r="Q37" s="190"/>
      <c r="R37" s="191"/>
      <c r="S37" s="191"/>
      <c r="T37" s="191"/>
      <c r="U37" s="191"/>
      <c r="V37" s="191"/>
      <c r="W37" s="191"/>
      <c r="X37" s="191"/>
    </row>
    <row r="38" spans="1:24" s="145" customFormat="1" ht="13.5" customHeight="1">
      <c r="A38" s="192"/>
      <c r="B38" s="193"/>
      <c r="C38" s="194"/>
      <c r="D38" s="195"/>
      <c r="E38" s="196"/>
      <c r="F38" s="191"/>
      <c r="G38" s="191"/>
      <c r="H38" s="191"/>
      <c r="I38" s="191"/>
      <c r="J38" s="191"/>
      <c r="K38" s="191"/>
      <c r="L38" s="191"/>
      <c r="P38" s="195"/>
      <c r="Q38" s="196"/>
      <c r="R38" s="191"/>
      <c r="S38" s="191"/>
      <c r="T38" s="191"/>
      <c r="U38" s="191"/>
      <c r="V38" s="191"/>
      <c r="W38" s="191"/>
      <c r="X38" s="191"/>
    </row>
    <row r="39" spans="1:24" ht="13.5" customHeight="1">
      <c r="A39" s="192"/>
      <c r="B39" s="193"/>
      <c r="C39" s="150"/>
      <c r="D39" s="189"/>
      <c r="E39" s="190"/>
      <c r="F39" s="191"/>
      <c r="G39" s="191"/>
      <c r="H39" s="191"/>
      <c r="I39" s="191"/>
      <c r="J39" s="191"/>
      <c r="K39" s="191"/>
      <c r="L39" s="191"/>
      <c r="P39" s="189"/>
      <c r="Q39" s="190"/>
      <c r="R39" s="191"/>
      <c r="S39" s="191"/>
      <c r="T39" s="191"/>
      <c r="U39" s="191"/>
      <c r="V39" s="191"/>
      <c r="W39" s="191"/>
      <c r="X39" s="191"/>
    </row>
    <row r="40" spans="1:14" s="143" customFormat="1" ht="13.5" customHeight="1" thickBot="1">
      <c r="A40" s="256" t="s">
        <v>106</v>
      </c>
      <c r="B40" s="256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1:26" ht="20.25" customHeight="1" thickBot="1">
      <c r="A41" s="147" t="s">
        <v>68</v>
      </c>
      <c r="B41" s="213"/>
      <c r="C41" s="148"/>
      <c r="D41" s="248" t="s">
        <v>69</v>
      </c>
      <c r="E41" s="249"/>
      <c r="F41" s="249"/>
      <c r="G41" s="249"/>
      <c r="H41" s="249"/>
      <c r="I41" s="249"/>
      <c r="J41" s="249"/>
      <c r="K41" s="249"/>
      <c r="L41" s="249"/>
      <c r="M41" s="249"/>
      <c r="N41" s="250"/>
      <c r="P41" s="248" t="s">
        <v>70</v>
      </c>
      <c r="Q41" s="249"/>
      <c r="R41" s="249"/>
      <c r="S41" s="249"/>
      <c r="T41" s="249"/>
      <c r="U41" s="249"/>
      <c r="V41" s="249"/>
      <c r="W41" s="249"/>
      <c r="X41" s="249"/>
      <c r="Y41" s="249"/>
      <c r="Z41" s="250"/>
    </row>
    <row r="42" spans="1:26" ht="13.5" customHeight="1" thickBot="1">
      <c r="A42" s="149" t="s">
        <v>71</v>
      </c>
      <c r="B42" s="240">
        <f>INDEX('W-BT Mielies '!M9:O14,MATCH($B$46,BTopbrengspeil,0),2)</f>
        <v>8103.999785588468</v>
      </c>
      <c r="C42" s="150"/>
      <c r="D42" s="151"/>
      <c r="E42" s="152"/>
      <c r="F42" s="153"/>
      <c r="G42" s="154"/>
      <c r="H42" s="153"/>
      <c r="I42" s="153"/>
      <c r="J42" s="153" t="s">
        <v>72</v>
      </c>
      <c r="K42" s="155"/>
      <c r="L42" s="153"/>
      <c r="M42" s="155"/>
      <c r="N42" s="153"/>
      <c r="P42" s="151"/>
      <c r="Q42" s="152"/>
      <c r="R42" s="153"/>
      <c r="S42" s="154"/>
      <c r="T42" s="153"/>
      <c r="U42" s="153"/>
      <c r="V42" s="153" t="s">
        <v>72</v>
      </c>
      <c r="W42" s="155"/>
      <c r="X42" s="153"/>
      <c r="Y42" s="155"/>
      <c r="Z42" s="153"/>
    </row>
    <row r="43" spans="1:26" ht="13.5" customHeight="1" thickBot="1">
      <c r="A43" s="156" t="s">
        <v>73</v>
      </c>
      <c r="B43" s="240">
        <f>INDEX('W-BT Mielies '!M9:O14,MATCH($B$46,BTopbrengspeil,0),3)</f>
        <v>2482.173781438091</v>
      </c>
      <c r="C43" s="150"/>
      <c r="D43" s="248" t="s">
        <v>74</v>
      </c>
      <c r="E43" s="250"/>
      <c r="F43" s="157">
        <f>G43-250</f>
        <v>1700</v>
      </c>
      <c r="G43" s="157">
        <f>H43-250</f>
        <v>1950</v>
      </c>
      <c r="H43" s="157">
        <f>I43-250</f>
        <v>2200</v>
      </c>
      <c r="I43" s="157">
        <f>J43-250</f>
        <v>2450</v>
      </c>
      <c r="J43" s="153">
        <f>B48</f>
        <v>2700</v>
      </c>
      <c r="K43" s="157">
        <f>J43+250</f>
        <v>2950</v>
      </c>
      <c r="L43" s="157">
        <f>K43+250</f>
        <v>3200</v>
      </c>
      <c r="M43" s="157">
        <f>L43+250</f>
        <v>3450</v>
      </c>
      <c r="N43" s="157">
        <f>M43+250</f>
        <v>3700</v>
      </c>
      <c r="P43" s="248" t="s">
        <v>74</v>
      </c>
      <c r="Q43" s="250"/>
      <c r="R43" s="159">
        <f>S43-250</f>
        <v>1700</v>
      </c>
      <c r="S43" s="159">
        <f>T43-250</f>
        <v>1950</v>
      </c>
      <c r="T43" s="159">
        <f>U43-250</f>
        <v>2200</v>
      </c>
      <c r="U43" s="159">
        <f>V43-250</f>
        <v>2450</v>
      </c>
      <c r="V43" s="160">
        <f>J43</f>
        <v>2700</v>
      </c>
      <c r="W43" s="159">
        <f>V43+250</f>
        <v>2950</v>
      </c>
      <c r="X43" s="159">
        <f>W43+250</f>
        <v>3200</v>
      </c>
      <c r="Y43" s="159">
        <f>X43+250</f>
        <v>3450</v>
      </c>
      <c r="Z43" s="159">
        <f>Y43+250</f>
        <v>3700</v>
      </c>
    </row>
    <row r="44" spans="1:26" ht="13.5" customHeight="1" thickBot="1">
      <c r="A44" s="161" t="s">
        <v>75</v>
      </c>
      <c r="B44" s="162">
        <f>B43+B42</f>
        <v>10586.173567026559</v>
      </c>
      <c r="C44" s="163"/>
      <c r="D44" s="251" t="s">
        <v>76</v>
      </c>
      <c r="E44" s="252"/>
      <c r="F44" s="157">
        <f aca="true" t="shared" si="8" ref="F44:N44">F43-$B$49</f>
        <v>1439</v>
      </c>
      <c r="G44" s="157">
        <f t="shared" si="8"/>
        <v>1689</v>
      </c>
      <c r="H44" s="157">
        <f t="shared" si="8"/>
        <v>1939</v>
      </c>
      <c r="I44" s="157">
        <f t="shared" si="8"/>
        <v>2189</v>
      </c>
      <c r="J44" s="153">
        <f t="shared" si="8"/>
        <v>2439</v>
      </c>
      <c r="K44" s="157">
        <f t="shared" si="8"/>
        <v>2689</v>
      </c>
      <c r="L44" s="157">
        <f t="shared" si="8"/>
        <v>2939</v>
      </c>
      <c r="M44" s="157">
        <f t="shared" si="8"/>
        <v>3189</v>
      </c>
      <c r="N44" s="157">
        <f t="shared" si="8"/>
        <v>3439</v>
      </c>
      <c r="P44" s="251" t="s">
        <v>76</v>
      </c>
      <c r="Q44" s="252"/>
      <c r="R44" s="159">
        <f aca="true" t="shared" si="9" ref="R44:Z44">R43-$B$49</f>
        <v>1439</v>
      </c>
      <c r="S44" s="159">
        <f t="shared" si="9"/>
        <v>1689</v>
      </c>
      <c r="T44" s="159">
        <f t="shared" si="9"/>
        <v>1939</v>
      </c>
      <c r="U44" s="159">
        <f t="shared" si="9"/>
        <v>2189</v>
      </c>
      <c r="V44" s="160">
        <f t="shared" si="9"/>
        <v>2439</v>
      </c>
      <c r="W44" s="159">
        <f t="shared" si="9"/>
        <v>2689</v>
      </c>
      <c r="X44" s="159">
        <f t="shared" si="9"/>
        <v>2939</v>
      </c>
      <c r="Y44" s="159">
        <f t="shared" si="9"/>
        <v>3189</v>
      </c>
      <c r="Z44" s="159">
        <f t="shared" si="9"/>
        <v>3439</v>
      </c>
    </row>
    <row r="45" spans="1:26" ht="13.5" customHeight="1" thickBot="1">
      <c r="A45" s="167"/>
      <c r="B45" s="168"/>
      <c r="C45" s="150"/>
      <c r="D45" s="253" t="s">
        <v>77</v>
      </c>
      <c r="E45" s="169">
        <f>E46-0.5</f>
        <v>3.5</v>
      </c>
      <c r="F45" s="170">
        <f aca="true" t="shared" si="10" ref="F45:N49">F$31-($B$44/$E45)</f>
        <v>-1585.6210191504456</v>
      </c>
      <c r="G45" s="170">
        <f t="shared" si="10"/>
        <v>-1335.6210191504456</v>
      </c>
      <c r="H45" s="170">
        <f t="shared" si="10"/>
        <v>-1085.6210191504456</v>
      </c>
      <c r="I45" s="170">
        <f t="shared" si="10"/>
        <v>-835.6210191504456</v>
      </c>
      <c r="J45" s="170">
        <f t="shared" si="10"/>
        <v>-585.6210191504456</v>
      </c>
      <c r="K45" s="170">
        <f t="shared" si="10"/>
        <v>-335.6210191504456</v>
      </c>
      <c r="L45" s="170">
        <f t="shared" si="10"/>
        <v>-85.62101915044559</v>
      </c>
      <c r="M45" s="170">
        <f t="shared" si="10"/>
        <v>164.3789808495544</v>
      </c>
      <c r="N45" s="170">
        <f t="shared" si="10"/>
        <v>414.3789808495544</v>
      </c>
      <c r="P45" s="253" t="s">
        <v>77</v>
      </c>
      <c r="Q45" s="169">
        <f>Q46-0.5</f>
        <v>3.5</v>
      </c>
      <c r="R45" s="170">
        <f>R$31-($B$42/$E45)</f>
        <v>-876.4285101681335</v>
      </c>
      <c r="S45" s="170">
        <f aca="true" t="shared" si="11" ref="S45:Z45">S$31-($B$42/$E45)</f>
        <v>-626.4285101681335</v>
      </c>
      <c r="T45" s="170">
        <f t="shared" si="11"/>
        <v>-376.42851016813347</v>
      </c>
      <c r="U45" s="170">
        <f t="shared" si="11"/>
        <v>-126.42851016813347</v>
      </c>
      <c r="V45" s="170">
        <f t="shared" si="11"/>
        <v>123.57148983186653</v>
      </c>
      <c r="W45" s="170">
        <f t="shared" si="11"/>
        <v>373.57148983186653</v>
      </c>
      <c r="X45" s="170">
        <f t="shared" si="11"/>
        <v>623.5714898318665</v>
      </c>
      <c r="Y45" s="170">
        <f t="shared" si="11"/>
        <v>873.5714898318665</v>
      </c>
      <c r="Z45" s="170">
        <f t="shared" si="11"/>
        <v>1123.5714898318665</v>
      </c>
    </row>
    <row r="46" spans="1:26" ht="13.5" customHeight="1" thickBot="1">
      <c r="A46" s="174" t="s">
        <v>78</v>
      </c>
      <c r="B46" s="244">
        <f>'W-BT Mielies '!F5</f>
        <v>4.5</v>
      </c>
      <c r="C46" s="150"/>
      <c r="D46" s="254"/>
      <c r="E46" s="169">
        <f>E47-0.5</f>
        <v>4</v>
      </c>
      <c r="F46" s="170">
        <f t="shared" si="10"/>
        <v>-1207.5433917566397</v>
      </c>
      <c r="G46" s="170">
        <f t="shared" si="10"/>
        <v>-957.5433917566397</v>
      </c>
      <c r="H46" s="170">
        <f t="shared" si="10"/>
        <v>-707.5433917566397</v>
      </c>
      <c r="I46" s="170">
        <f t="shared" si="10"/>
        <v>-457.5433917566397</v>
      </c>
      <c r="J46" s="170">
        <f t="shared" si="10"/>
        <v>-207.54339175663972</v>
      </c>
      <c r="K46" s="170">
        <f t="shared" si="10"/>
        <v>42.45660824336028</v>
      </c>
      <c r="L46" s="170">
        <f t="shared" si="10"/>
        <v>292.4566082433603</v>
      </c>
      <c r="M46" s="170">
        <f t="shared" si="10"/>
        <v>542.4566082433603</v>
      </c>
      <c r="N46" s="170">
        <f t="shared" si="10"/>
        <v>792.4566082433603</v>
      </c>
      <c r="P46" s="254"/>
      <c r="Q46" s="169">
        <f>Q47-0.5</f>
        <v>4</v>
      </c>
      <c r="R46" s="170">
        <f aca="true" t="shared" si="12" ref="R46:Z49">R$31-($B$42/$E46)</f>
        <v>-586.9999463971169</v>
      </c>
      <c r="S46" s="170">
        <f t="shared" si="12"/>
        <v>-336.9999463971169</v>
      </c>
      <c r="T46" s="170">
        <f t="shared" si="12"/>
        <v>-86.9999463971169</v>
      </c>
      <c r="U46" s="170">
        <f t="shared" si="12"/>
        <v>163.0000536028831</v>
      </c>
      <c r="V46" s="170">
        <f t="shared" si="12"/>
        <v>413.0000536028831</v>
      </c>
      <c r="W46" s="170">
        <f t="shared" si="12"/>
        <v>663.0000536028831</v>
      </c>
      <c r="X46" s="170">
        <f t="shared" si="12"/>
        <v>913.0000536028831</v>
      </c>
      <c r="Y46" s="170">
        <f t="shared" si="12"/>
        <v>1163.000053602883</v>
      </c>
      <c r="Z46" s="170">
        <f t="shared" si="12"/>
        <v>1413.000053602883</v>
      </c>
    </row>
    <row r="47" spans="1:26" ht="13.5" customHeight="1" thickBot="1">
      <c r="A47" s="167"/>
      <c r="B47" s="168"/>
      <c r="C47" s="150"/>
      <c r="D47" s="254"/>
      <c r="E47" s="179">
        <f>B46</f>
        <v>4.5</v>
      </c>
      <c r="F47" s="170">
        <f t="shared" si="10"/>
        <v>-913.4830148947908</v>
      </c>
      <c r="G47" s="170">
        <f t="shared" si="10"/>
        <v>-663.4830148947908</v>
      </c>
      <c r="H47" s="170">
        <f t="shared" si="10"/>
        <v>-413.4830148947908</v>
      </c>
      <c r="I47" s="170">
        <f t="shared" si="10"/>
        <v>-163.4830148947908</v>
      </c>
      <c r="J47" s="170">
        <f>J$31-($B$44/$E47)</f>
        <v>86.51698510520919</v>
      </c>
      <c r="K47" s="170">
        <f t="shared" si="10"/>
        <v>336.5169851052092</v>
      </c>
      <c r="L47" s="170">
        <f t="shared" si="10"/>
        <v>586.5169851052092</v>
      </c>
      <c r="M47" s="170">
        <f t="shared" si="10"/>
        <v>836.5169851052092</v>
      </c>
      <c r="N47" s="170">
        <f t="shared" si="10"/>
        <v>1086.5169851052092</v>
      </c>
      <c r="P47" s="254"/>
      <c r="Q47" s="179">
        <f>E47</f>
        <v>4.5</v>
      </c>
      <c r="R47" s="170">
        <f t="shared" si="12"/>
        <v>-361.88884124188166</v>
      </c>
      <c r="S47" s="170">
        <f t="shared" si="12"/>
        <v>-111.88884124188166</v>
      </c>
      <c r="T47" s="170">
        <f t="shared" si="12"/>
        <v>138.11115875811834</v>
      </c>
      <c r="U47" s="170">
        <f t="shared" si="12"/>
        <v>388.11115875811834</v>
      </c>
      <c r="V47" s="170">
        <f t="shared" si="12"/>
        <v>638.1111587581183</v>
      </c>
      <c r="W47" s="170">
        <f t="shared" si="12"/>
        <v>888.1111587581183</v>
      </c>
      <c r="X47" s="170">
        <f t="shared" si="12"/>
        <v>1138.1111587581183</v>
      </c>
      <c r="Y47" s="170">
        <f t="shared" si="12"/>
        <v>1388.1111587581183</v>
      </c>
      <c r="Z47" s="170">
        <f t="shared" si="12"/>
        <v>1638.1111587581183</v>
      </c>
    </row>
    <row r="48" spans="1:26" ht="13.5" customHeight="1" thickBot="1">
      <c r="A48" s="180" t="s">
        <v>79</v>
      </c>
      <c r="B48" s="181">
        <f>B4</f>
        <v>2700</v>
      </c>
      <c r="C48" s="150"/>
      <c r="D48" s="254"/>
      <c r="E48" s="169">
        <f>E47+0.5</f>
        <v>5</v>
      </c>
      <c r="F48" s="170">
        <f t="shared" si="10"/>
        <v>-678.2347134053116</v>
      </c>
      <c r="G48" s="170">
        <f t="shared" si="10"/>
        <v>-428.2347134053116</v>
      </c>
      <c r="H48" s="170">
        <f t="shared" si="10"/>
        <v>-178.2347134053116</v>
      </c>
      <c r="I48" s="170">
        <f t="shared" si="10"/>
        <v>71.7652865946884</v>
      </c>
      <c r="J48" s="170">
        <f t="shared" si="10"/>
        <v>321.7652865946884</v>
      </c>
      <c r="K48" s="170">
        <f t="shared" si="10"/>
        <v>571.7652865946884</v>
      </c>
      <c r="L48" s="170">
        <f t="shared" si="10"/>
        <v>821.7652865946884</v>
      </c>
      <c r="M48" s="170">
        <f t="shared" si="10"/>
        <v>1071.7652865946884</v>
      </c>
      <c r="N48" s="170">
        <f t="shared" si="10"/>
        <v>1321.7652865946884</v>
      </c>
      <c r="P48" s="254"/>
      <c r="Q48" s="169">
        <f>Q47+0.5</f>
        <v>5</v>
      </c>
      <c r="R48" s="170">
        <f t="shared" si="12"/>
        <v>-181.79995711769357</v>
      </c>
      <c r="S48" s="170">
        <f t="shared" si="12"/>
        <v>68.20004288230643</v>
      </c>
      <c r="T48" s="170">
        <f t="shared" si="12"/>
        <v>318.20004288230643</v>
      </c>
      <c r="U48" s="170">
        <f t="shared" si="12"/>
        <v>568.2000428823064</v>
      </c>
      <c r="V48" s="170">
        <f t="shared" si="12"/>
        <v>818.2000428823064</v>
      </c>
      <c r="W48" s="170">
        <f t="shared" si="12"/>
        <v>1068.2000428823064</v>
      </c>
      <c r="X48" s="170">
        <f t="shared" si="12"/>
        <v>1318.2000428823064</v>
      </c>
      <c r="Y48" s="170">
        <f t="shared" si="12"/>
        <v>1568.2000428823064</v>
      </c>
      <c r="Z48" s="170">
        <f t="shared" si="12"/>
        <v>1818.2000428823064</v>
      </c>
    </row>
    <row r="49" spans="1:26" ht="13.5" customHeight="1" thickBot="1">
      <c r="A49" s="182" t="s">
        <v>80</v>
      </c>
      <c r="B49" s="181">
        <f>D4</f>
        <v>261</v>
      </c>
      <c r="C49" s="150"/>
      <c r="D49" s="255"/>
      <c r="E49" s="169">
        <f>E48+0.5</f>
        <v>5.5</v>
      </c>
      <c r="F49" s="170">
        <f>F$31-($B$44/$E49)</f>
        <v>-485.75883036846517</v>
      </c>
      <c r="G49" s="170">
        <f t="shared" si="10"/>
        <v>-235.75883036846517</v>
      </c>
      <c r="H49" s="170">
        <f t="shared" si="10"/>
        <v>14.24116963153483</v>
      </c>
      <c r="I49" s="170">
        <f t="shared" si="10"/>
        <v>264.24116963153483</v>
      </c>
      <c r="J49" s="170">
        <f t="shared" si="10"/>
        <v>514.2411696315348</v>
      </c>
      <c r="K49" s="170">
        <f t="shared" si="10"/>
        <v>764.2411696315348</v>
      </c>
      <c r="L49" s="170">
        <f t="shared" si="10"/>
        <v>1014.2411696315348</v>
      </c>
      <c r="M49" s="170">
        <f t="shared" si="10"/>
        <v>1264.2411696315348</v>
      </c>
      <c r="N49" s="170">
        <f t="shared" si="10"/>
        <v>1514.2411696315348</v>
      </c>
      <c r="P49" s="255"/>
      <c r="Q49" s="169">
        <f>Q48+0.5</f>
        <v>5.5</v>
      </c>
      <c r="R49" s="170">
        <f t="shared" si="12"/>
        <v>-34.45450647063058</v>
      </c>
      <c r="S49" s="170">
        <f t="shared" si="12"/>
        <v>215.54549352936942</v>
      </c>
      <c r="T49" s="170">
        <f t="shared" si="12"/>
        <v>465.5454935293694</v>
      </c>
      <c r="U49" s="170">
        <f t="shared" si="12"/>
        <v>715.5454935293694</v>
      </c>
      <c r="V49" s="170">
        <f t="shared" si="12"/>
        <v>965.5454935293694</v>
      </c>
      <c r="W49" s="170">
        <f t="shared" si="12"/>
        <v>1215.5454935293694</v>
      </c>
      <c r="X49" s="170">
        <f t="shared" si="12"/>
        <v>1465.5454935293694</v>
      </c>
      <c r="Y49" s="170">
        <f t="shared" si="12"/>
        <v>1715.5454935293694</v>
      </c>
      <c r="Z49" s="170">
        <f t="shared" si="12"/>
        <v>1965.5454935293694</v>
      </c>
    </row>
    <row r="50" spans="1:24" ht="13.5" customHeight="1" thickBot="1">
      <c r="A50" s="187" t="s">
        <v>81</v>
      </c>
      <c r="B50" s="188">
        <f>B48-B49</f>
        <v>2439</v>
      </c>
      <c r="C50" s="150"/>
      <c r="D50" s="189"/>
      <c r="E50" s="190"/>
      <c r="F50" s="191"/>
      <c r="G50" s="191"/>
      <c r="H50" s="191"/>
      <c r="I50" s="191"/>
      <c r="J50" s="191"/>
      <c r="K50" s="191"/>
      <c r="L50" s="191"/>
      <c r="P50" s="189"/>
      <c r="Q50" s="190"/>
      <c r="R50" s="191"/>
      <c r="S50" s="191"/>
      <c r="T50" s="191"/>
      <c r="U50" s="191"/>
      <c r="V50" s="191"/>
      <c r="W50" s="191"/>
      <c r="X50" s="191"/>
    </row>
    <row r="51" spans="1:24" s="145" customFormat="1" ht="13.5" customHeight="1">
      <c r="A51" s="192"/>
      <c r="B51" s="193"/>
      <c r="C51" s="194"/>
      <c r="D51" s="195"/>
      <c r="E51" s="196"/>
      <c r="F51" s="191"/>
      <c r="G51" s="191"/>
      <c r="H51" s="191"/>
      <c r="I51" s="191"/>
      <c r="J51" s="191"/>
      <c r="K51" s="191"/>
      <c r="L51" s="191"/>
      <c r="P51" s="195"/>
      <c r="Q51" s="196"/>
      <c r="R51" s="191"/>
      <c r="S51" s="191"/>
      <c r="T51" s="191"/>
      <c r="U51" s="191"/>
      <c r="V51" s="191"/>
      <c r="W51" s="191"/>
      <c r="X51" s="191"/>
    </row>
    <row r="52" spans="1:24" s="145" customFormat="1" ht="13.5" customHeight="1">
      <c r="A52" s="192"/>
      <c r="B52" s="193"/>
      <c r="C52" s="194"/>
      <c r="D52" s="195"/>
      <c r="E52" s="196"/>
      <c r="F52" s="191"/>
      <c r="G52" s="191"/>
      <c r="H52" s="191"/>
      <c r="I52" s="191"/>
      <c r="J52" s="191"/>
      <c r="K52" s="191"/>
      <c r="L52" s="191"/>
      <c r="P52" s="195"/>
      <c r="Q52" s="196"/>
      <c r="R52" s="191"/>
      <c r="S52" s="191"/>
      <c r="T52" s="191"/>
      <c r="U52" s="191"/>
      <c r="V52" s="191"/>
      <c r="W52" s="191"/>
      <c r="X52" s="191"/>
    </row>
    <row r="53" spans="1:14" s="143" customFormat="1" ht="29.25" customHeight="1" thickBot="1">
      <c r="A53" s="256" t="s">
        <v>109</v>
      </c>
      <c r="B53" s="256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26" ht="20.25" customHeight="1" thickBot="1">
      <c r="A54" s="147" t="s">
        <v>68</v>
      </c>
      <c r="B54" s="213"/>
      <c r="C54" s="148"/>
      <c r="D54" s="248" t="s">
        <v>69</v>
      </c>
      <c r="E54" s="249"/>
      <c r="F54" s="249"/>
      <c r="G54" s="249"/>
      <c r="H54" s="249"/>
      <c r="I54" s="249"/>
      <c r="J54" s="249"/>
      <c r="K54" s="249"/>
      <c r="L54" s="249"/>
      <c r="M54" s="249"/>
      <c r="N54" s="250"/>
      <c r="P54" s="248" t="s">
        <v>70</v>
      </c>
      <c r="Q54" s="249"/>
      <c r="R54" s="249"/>
      <c r="S54" s="249"/>
      <c r="T54" s="249"/>
      <c r="U54" s="249"/>
      <c r="V54" s="249"/>
      <c r="W54" s="249"/>
      <c r="X54" s="249"/>
      <c r="Y54" s="249"/>
      <c r="Z54" s="250"/>
    </row>
    <row r="55" spans="1:26" ht="13.5" customHeight="1" thickBot="1">
      <c r="A55" s="149" t="s">
        <v>71</v>
      </c>
      <c r="B55" s="240">
        <f>INDEX('Verminbe Stapelgeen mielie -5jr'!M9:O14,MATCH($B$59,Verminopbrengspeil,0),2)</f>
        <v>6950.9255025950715</v>
      </c>
      <c r="C55" s="150"/>
      <c r="D55" s="151"/>
      <c r="E55" s="152"/>
      <c r="F55" s="153"/>
      <c r="G55" s="154"/>
      <c r="H55" s="153"/>
      <c r="I55" s="153"/>
      <c r="J55" s="153" t="s">
        <v>72</v>
      </c>
      <c r="K55" s="155"/>
      <c r="L55" s="153"/>
      <c r="M55" s="155"/>
      <c r="N55" s="153"/>
      <c r="P55" s="151"/>
      <c r="Q55" s="152"/>
      <c r="R55" s="153"/>
      <c r="S55" s="154"/>
      <c r="T55" s="153"/>
      <c r="U55" s="153"/>
      <c r="V55" s="153" t="s">
        <v>72</v>
      </c>
      <c r="W55" s="155"/>
      <c r="X55" s="153"/>
      <c r="Y55" s="155"/>
      <c r="Z55" s="153"/>
    </row>
    <row r="56" spans="1:26" ht="13.5" customHeight="1" thickBot="1">
      <c r="A56" s="156" t="s">
        <v>73</v>
      </c>
      <c r="B56" s="240">
        <f>INDEX('Verminbe Stapelgeen mielie -5jr'!M9:O14,MATCH($B$59,Verminopbrengspeil,0),3)</f>
        <v>1387.329231766467</v>
      </c>
      <c r="C56" s="150"/>
      <c r="D56" s="248" t="s">
        <v>74</v>
      </c>
      <c r="E56" s="250"/>
      <c r="F56" s="157">
        <f>G56-250</f>
        <v>1700</v>
      </c>
      <c r="G56" s="157">
        <f>H56-250</f>
        <v>1950</v>
      </c>
      <c r="H56" s="157">
        <f>I56-250</f>
        <v>2200</v>
      </c>
      <c r="I56" s="157">
        <f>J56-250</f>
        <v>2450</v>
      </c>
      <c r="J56" s="158">
        <f>B61</f>
        <v>2700</v>
      </c>
      <c r="K56" s="157">
        <f>J56+250</f>
        <v>2950</v>
      </c>
      <c r="L56" s="157">
        <f>K56+250</f>
        <v>3200</v>
      </c>
      <c r="M56" s="157">
        <f>L56+250</f>
        <v>3450</v>
      </c>
      <c r="N56" s="157">
        <f>M56+250</f>
        <v>3700</v>
      </c>
      <c r="P56" s="248" t="s">
        <v>74</v>
      </c>
      <c r="Q56" s="250"/>
      <c r="R56" s="159">
        <f>S56-250</f>
        <v>1700</v>
      </c>
      <c r="S56" s="159">
        <f>T56-250</f>
        <v>1950</v>
      </c>
      <c r="T56" s="159">
        <f>U56-250</f>
        <v>2200</v>
      </c>
      <c r="U56" s="159">
        <f>V56-250</f>
        <v>2450</v>
      </c>
      <c r="V56" s="160">
        <f>J56</f>
        <v>2700</v>
      </c>
      <c r="W56" s="159">
        <f>V56+250</f>
        <v>2950</v>
      </c>
      <c r="X56" s="159">
        <f>W56+250</f>
        <v>3200</v>
      </c>
      <c r="Y56" s="159">
        <f>X56+250</f>
        <v>3450</v>
      </c>
      <c r="Z56" s="159">
        <f>Y56+250</f>
        <v>3700</v>
      </c>
    </row>
    <row r="57" spans="1:26" ht="13.5" customHeight="1" thickBot="1">
      <c r="A57" s="161" t="s">
        <v>75</v>
      </c>
      <c r="B57" s="162">
        <f>B56+B55</f>
        <v>8338.254734361539</v>
      </c>
      <c r="C57" s="163"/>
      <c r="D57" s="251" t="s">
        <v>76</v>
      </c>
      <c r="E57" s="252"/>
      <c r="F57" s="164">
        <f aca="true" t="shared" si="13" ref="F57:N57">F56-$B$23</f>
        <v>1439</v>
      </c>
      <c r="G57" s="164">
        <f t="shared" si="13"/>
        <v>1689</v>
      </c>
      <c r="H57" s="164">
        <f t="shared" si="13"/>
        <v>1939</v>
      </c>
      <c r="I57" s="164">
        <f t="shared" si="13"/>
        <v>2189</v>
      </c>
      <c r="J57" s="165">
        <f>J56-$B$23</f>
        <v>2439</v>
      </c>
      <c r="K57" s="164">
        <f t="shared" si="13"/>
        <v>2689</v>
      </c>
      <c r="L57" s="164">
        <f t="shared" si="13"/>
        <v>2939</v>
      </c>
      <c r="M57" s="164">
        <f t="shared" si="13"/>
        <v>3189</v>
      </c>
      <c r="N57" s="164">
        <f t="shared" si="13"/>
        <v>3439</v>
      </c>
      <c r="P57" s="251" t="s">
        <v>76</v>
      </c>
      <c r="Q57" s="252"/>
      <c r="R57" s="164">
        <f aca="true" t="shared" si="14" ref="R57:Z57">R56-$B$23</f>
        <v>1439</v>
      </c>
      <c r="S57" s="164">
        <f t="shared" si="14"/>
        <v>1689</v>
      </c>
      <c r="T57" s="164">
        <f t="shared" si="14"/>
        <v>1939</v>
      </c>
      <c r="U57" s="164">
        <f t="shared" si="14"/>
        <v>2189</v>
      </c>
      <c r="V57" s="166">
        <f t="shared" si="14"/>
        <v>2439</v>
      </c>
      <c r="W57" s="164">
        <f t="shared" si="14"/>
        <v>2689</v>
      </c>
      <c r="X57" s="164">
        <f t="shared" si="14"/>
        <v>2939</v>
      </c>
      <c r="Y57" s="164">
        <f t="shared" si="14"/>
        <v>3189</v>
      </c>
      <c r="Z57" s="164">
        <f t="shared" si="14"/>
        <v>3439</v>
      </c>
    </row>
    <row r="58" spans="1:26" ht="13.5" customHeight="1" thickBot="1">
      <c r="A58" s="167"/>
      <c r="B58" s="168"/>
      <c r="C58" s="150"/>
      <c r="D58" s="253" t="s">
        <v>77</v>
      </c>
      <c r="E58" s="169">
        <f>E59-0.5</f>
        <v>3.5</v>
      </c>
      <c r="F58" s="170">
        <f>F$18-($B$57/$E58)</f>
        <v>-943.3584955318684</v>
      </c>
      <c r="G58" s="170">
        <f aca="true" t="shared" si="15" ref="G58:N62">G$18-($B$57/$E58)</f>
        <v>-693.3584955318684</v>
      </c>
      <c r="H58" s="170">
        <f t="shared" si="15"/>
        <v>-443.35849553186836</v>
      </c>
      <c r="I58" s="170">
        <f t="shared" si="15"/>
        <v>-193.35849553186836</v>
      </c>
      <c r="J58" s="170">
        <f t="shared" si="15"/>
        <v>56.64150446813164</v>
      </c>
      <c r="K58" s="170">
        <f t="shared" si="15"/>
        <v>306.64150446813164</v>
      </c>
      <c r="L58" s="170">
        <f t="shared" si="15"/>
        <v>556.6415044681316</v>
      </c>
      <c r="M58" s="170">
        <f t="shared" si="15"/>
        <v>806.6415044681316</v>
      </c>
      <c r="N58" s="170">
        <f t="shared" si="15"/>
        <v>1056.6415044681316</v>
      </c>
      <c r="P58" s="253" t="s">
        <v>77</v>
      </c>
      <c r="Q58" s="169">
        <f>Q59-0.5</f>
        <v>3.5</v>
      </c>
      <c r="R58" s="170">
        <f>R$18-($B$55/$E58)</f>
        <v>-546.9787150271634</v>
      </c>
      <c r="S58" s="170">
        <f aca="true" t="shared" si="16" ref="S58:Z62">S$18-($B$55/$E58)</f>
        <v>-296.9787150271634</v>
      </c>
      <c r="T58" s="170">
        <f t="shared" si="16"/>
        <v>-46.97871502716339</v>
      </c>
      <c r="U58" s="170">
        <f t="shared" si="16"/>
        <v>203.0212849728366</v>
      </c>
      <c r="V58" s="170">
        <f t="shared" si="16"/>
        <v>453.0212849728366</v>
      </c>
      <c r="W58" s="170">
        <f t="shared" si="16"/>
        <v>703.0212849728366</v>
      </c>
      <c r="X58" s="170">
        <f t="shared" si="16"/>
        <v>953.0212849728366</v>
      </c>
      <c r="Y58" s="170">
        <f t="shared" si="16"/>
        <v>1203.0212849728366</v>
      </c>
      <c r="Z58" s="170">
        <f t="shared" si="16"/>
        <v>1453.0212849728366</v>
      </c>
    </row>
    <row r="59" spans="1:26" ht="13.5" customHeight="1" thickBot="1">
      <c r="A59" s="174" t="s">
        <v>78</v>
      </c>
      <c r="B59" s="244">
        <v>4.5</v>
      </c>
      <c r="C59" s="150"/>
      <c r="D59" s="254"/>
      <c r="E59" s="169">
        <f>E60-0.5</f>
        <v>4</v>
      </c>
      <c r="F59" s="170">
        <f>F$18-($B$57/$E59)</f>
        <v>-645.5636835903847</v>
      </c>
      <c r="G59" s="170">
        <f t="shared" si="15"/>
        <v>-395.5636835903847</v>
      </c>
      <c r="H59" s="170">
        <f t="shared" si="15"/>
        <v>-145.5636835903847</v>
      </c>
      <c r="I59" s="170">
        <f t="shared" si="15"/>
        <v>104.4363164096153</v>
      </c>
      <c r="J59" s="170">
        <f t="shared" si="15"/>
        <v>354.4363164096153</v>
      </c>
      <c r="K59" s="170">
        <f t="shared" si="15"/>
        <v>604.4363164096153</v>
      </c>
      <c r="L59" s="170">
        <f t="shared" si="15"/>
        <v>854.4363164096153</v>
      </c>
      <c r="M59" s="170">
        <f t="shared" si="15"/>
        <v>1104.4363164096153</v>
      </c>
      <c r="N59" s="170">
        <f t="shared" si="15"/>
        <v>1354.4363164096153</v>
      </c>
      <c r="P59" s="254"/>
      <c r="Q59" s="169">
        <f>Q60-0.5</f>
        <v>4</v>
      </c>
      <c r="R59" s="170">
        <f>R$18-($B$55/$E59)</f>
        <v>-298.7313756487679</v>
      </c>
      <c r="S59" s="170">
        <f t="shared" si="16"/>
        <v>-48.73137564876788</v>
      </c>
      <c r="T59" s="170">
        <f t="shared" si="16"/>
        <v>201.26862435123212</v>
      </c>
      <c r="U59" s="170">
        <f t="shared" si="16"/>
        <v>451.2686243512321</v>
      </c>
      <c r="V59" s="170">
        <f t="shared" si="16"/>
        <v>701.2686243512321</v>
      </c>
      <c r="W59" s="170">
        <f t="shared" si="16"/>
        <v>951.2686243512321</v>
      </c>
      <c r="X59" s="170">
        <f t="shared" si="16"/>
        <v>1201.2686243512321</v>
      </c>
      <c r="Y59" s="170">
        <f t="shared" si="16"/>
        <v>1451.2686243512321</v>
      </c>
      <c r="Z59" s="170">
        <f t="shared" si="16"/>
        <v>1701.2686243512321</v>
      </c>
    </row>
    <row r="60" spans="1:26" ht="13.5" customHeight="1" thickBot="1">
      <c r="A60" s="167"/>
      <c r="B60" s="168"/>
      <c r="C60" s="150"/>
      <c r="D60" s="254"/>
      <c r="E60" s="179">
        <f>B59</f>
        <v>4.5</v>
      </c>
      <c r="F60" s="170">
        <f>F$18-($B$57/$E60)</f>
        <v>-413.94549652478645</v>
      </c>
      <c r="G60" s="170">
        <f t="shared" si="15"/>
        <v>-163.94549652478645</v>
      </c>
      <c r="H60" s="170">
        <f t="shared" si="15"/>
        <v>86.05450347521355</v>
      </c>
      <c r="I60" s="170">
        <f t="shared" si="15"/>
        <v>336.05450347521355</v>
      </c>
      <c r="J60" s="170">
        <f>J$18-($B$57/$E60)</f>
        <v>586.0545034752136</v>
      </c>
      <c r="K60" s="170">
        <f t="shared" si="15"/>
        <v>836.0545034752136</v>
      </c>
      <c r="L60" s="170">
        <f t="shared" si="15"/>
        <v>1086.0545034752136</v>
      </c>
      <c r="M60" s="170">
        <f t="shared" si="15"/>
        <v>1336.0545034752136</v>
      </c>
      <c r="N60" s="170">
        <f t="shared" si="15"/>
        <v>1586.0545034752136</v>
      </c>
      <c r="P60" s="254"/>
      <c r="Q60" s="179">
        <f>E60</f>
        <v>4.5</v>
      </c>
      <c r="R60" s="170">
        <f>R$18-($B$55/$E60)</f>
        <v>-105.6501116877937</v>
      </c>
      <c r="S60" s="170">
        <f t="shared" si="16"/>
        <v>144.3498883122063</v>
      </c>
      <c r="T60" s="170">
        <f t="shared" si="16"/>
        <v>394.3498883122063</v>
      </c>
      <c r="U60" s="170">
        <f t="shared" si="16"/>
        <v>644.3498883122063</v>
      </c>
      <c r="V60" s="170">
        <f t="shared" si="16"/>
        <v>894.3498883122063</v>
      </c>
      <c r="W60" s="170">
        <f t="shared" si="16"/>
        <v>1144.3498883122063</v>
      </c>
      <c r="X60" s="170">
        <f t="shared" si="16"/>
        <v>1394.3498883122063</v>
      </c>
      <c r="Y60" s="170">
        <f t="shared" si="16"/>
        <v>1644.3498883122063</v>
      </c>
      <c r="Z60" s="170">
        <f t="shared" si="16"/>
        <v>1894.3498883122063</v>
      </c>
    </row>
    <row r="61" spans="1:26" ht="13.5" customHeight="1" thickBot="1">
      <c r="A61" s="180" t="s">
        <v>79</v>
      </c>
      <c r="B61" s="181">
        <f>B4</f>
        <v>2700</v>
      </c>
      <c r="C61" s="150"/>
      <c r="D61" s="254"/>
      <c r="E61" s="169">
        <f>E60+0.5</f>
        <v>5</v>
      </c>
      <c r="F61" s="170">
        <f>F$18-($B$57/$E61)</f>
        <v>-228.6509468723077</v>
      </c>
      <c r="G61" s="170">
        <f t="shared" si="15"/>
        <v>21.349053127692287</v>
      </c>
      <c r="H61" s="170">
        <f t="shared" si="15"/>
        <v>271.3490531276923</v>
      </c>
      <c r="I61" s="170">
        <f t="shared" si="15"/>
        <v>521.3490531276923</v>
      </c>
      <c r="J61" s="170">
        <f t="shared" si="15"/>
        <v>771.3490531276923</v>
      </c>
      <c r="K61" s="170">
        <f t="shared" si="15"/>
        <v>1021.3490531276923</v>
      </c>
      <c r="L61" s="170">
        <f t="shared" si="15"/>
        <v>1271.3490531276923</v>
      </c>
      <c r="M61" s="170">
        <f t="shared" si="15"/>
        <v>1521.3490531276923</v>
      </c>
      <c r="N61" s="170">
        <f t="shared" si="15"/>
        <v>1771.3490531276923</v>
      </c>
      <c r="P61" s="254"/>
      <c r="Q61" s="169">
        <f>Q60+0.5</f>
        <v>5</v>
      </c>
      <c r="R61" s="170">
        <f>R$18-($B$55/$E61)</f>
        <v>48.81489948098579</v>
      </c>
      <c r="S61" s="170">
        <f t="shared" si="16"/>
        <v>298.8148994809858</v>
      </c>
      <c r="T61" s="170">
        <f t="shared" si="16"/>
        <v>548.8148994809858</v>
      </c>
      <c r="U61" s="170">
        <f>U$18-($B$55/$E61)</f>
        <v>798.8148994809858</v>
      </c>
      <c r="V61" s="170">
        <f t="shared" si="16"/>
        <v>1048.8148994809858</v>
      </c>
      <c r="W61" s="170">
        <f t="shared" si="16"/>
        <v>1298.8148994809858</v>
      </c>
      <c r="X61" s="170">
        <f t="shared" si="16"/>
        <v>1548.8148994809858</v>
      </c>
      <c r="Y61" s="170">
        <f t="shared" si="16"/>
        <v>1798.8148994809858</v>
      </c>
      <c r="Z61" s="170">
        <f t="shared" si="16"/>
        <v>2048.814899480986</v>
      </c>
    </row>
    <row r="62" spans="1:26" ht="13.5" customHeight="1" thickBot="1">
      <c r="A62" s="182" t="s">
        <v>80</v>
      </c>
      <c r="B62" s="181">
        <f>D4</f>
        <v>261</v>
      </c>
      <c r="C62" s="150"/>
      <c r="D62" s="255"/>
      <c r="E62" s="169">
        <f>E61+0.5</f>
        <v>5.5</v>
      </c>
      <c r="F62" s="170">
        <f>F$18-($B$57/$E62)</f>
        <v>-77.04631533846168</v>
      </c>
      <c r="G62" s="170">
        <f t="shared" si="15"/>
        <v>172.95368466153832</v>
      </c>
      <c r="H62" s="170">
        <f t="shared" si="15"/>
        <v>422.9536846615383</v>
      </c>
      <c r="I62" s="170">
        <f t="shared" si="15"/>
        <v>672.9536846615383</v>
      </c>
      <c r="J62" s="170">
        <f t="shared" si="15"/>
        <v>922.9536846615383</v>
      </c>
      <c r="K62" s="170">
        <f t="shared" si="15"/>
        <v>1172.9536846615383</v>
      </c>
      <c r="L62" s="170">
        <f t="shared" si="15"/>
        <v>1422.9536846615383</v>
      </c>
      <c r="M62" s="170">
        <f t="shared" si="15"/>
        <v>1672.9536846615383</v>
      </c>
      <c r="N62" s="170">
        <f t="shared" si="15"/>
        <v>1922.9536846615383</v>
      </c>
      <c r="P62" s="255"/>
      <c r="Q62" s="169">
        <f>Q61+0.5</f>
        <v>5.5</v>
      </c>
      <c r="R62" s="170">
        <f>R$18-($B$55/$E62)</f>
        <v>175.1953631645324</v>
      </c>
      <c r="S62" s="170">
        <f t="shared" si="16"/>
        <v>425.1953631645324</v>
      </c>
      <c r="T62" s="170">
        <f t="shared" si="16"/>
        <v>675.1953631645324</v>
      </c>
      <c r="U62" s="170">
        <f t="shared" si="16"/>
        <v>925.1953631645324</v>
      </c>
      <c r="V62" s="170">
        <f t="shared" si="16"/>
        <v>1175.1953631645324</v>
      </c>
      <c r="W62" s="170">
        <f t="shared" si="16"/>
        <v>1425.1953631645324</v>
      </c>
      <c r="X62" s="170">
        <f t="shared" si="16"/>
        <v>1675.1953631645324</v>
      </c>
      <c r="Y62" s="170">
        <f t="shared" si="16"/>
        <v>1925.1953631645324</v>
      </c>
      <c r="Z62" s="170">
        <f t="shared" si="16"/>
        <v>2175.1953631645324</v>
      </c>
    </row>
    <row r="63" spans="1:24" ht="13.5" customHeight="1" thickBot="1">
      <c r="A63" s="187" t="s">
        <v>81</v>
      </c>
      <c r="B63" s="188">
        <f>B61-B62</f>
        <v>2439</v>
      </c>
      <c r="C63" s="150"/>
      <c r="D63" s="189"/>
      <c r="E63" s="190"/>
      <c r="F63" s="191"/>
      <c r="G63" s="191"/>
      <c r="H63" s="191"/>
      <c r="I63" s="191"/>
      <c r="J63" s="191"/>
      <c r="K63" s="191"/>
      <c r="L63" s="191"/>
      <c r="P63" s="189"/>
      <c r="Q63" s="190"/>
      <c r="R63" s="191"/>
      <c r="S63" s="191"/>
      <c r="T63" s="191"/>
      <c r="U63" s="191"/>
      <c r="V63" s="191"/>
      <c r="W63" s="191"/>
      <c r="X63" s="191"/>
    </row>
    <row r="64" spans="1:24" s="145" customFormat="1" ht="13.5" customHeight="1">
      <c r="A64" s="192"/>
      <c r="B64" s="193"/>
      <c r="C64" s="194"/>
      <c r="D64" s="195"/>
      <c r="E64" s="196"/>
      <c r="F64" s="191"/>
      <c r="G64" s="191"/>
      <c r="H64" s="191"/>
      <c r="I64" s="191"/>
      <c r="J64" s="191"/>
      <c r="K64" s="191"/>
      <c r="L64" s="191"/>
      <c r="P64" s="195"/>
      <c r="Q64" s="196"/>
      <c r="R64" s="191"/>
      <c r="S64" s="191"/>
      <c r="T64" s="191"/>
      <c r="U64" s="191"/>
      <c r="V64" s="191"/>
      <c r="W64" s="191"/>
      <c r="X64" s="191"/>
    </row>
    <row r="65" spans="1:24" s="145" customFormat="1" ht="13.5" customHeight="1">
      <c r="A65" s="192"/>
      <c r="B65" s="193"/>
      <c r="C65" s="194"/>
      <c r="D65" s="195"/>
      <c r="E65" s="196"/>
      <c r="F65" s="191"/>
      <c r="G65" s="191"/>
      <c r="H65" s="191"/>
      <c r="I65" s="191"/>
      <c r="J65" s="191"/>
      <c r="K65" s="191"/>
      <c r="L65" s="191"/>
      <c r="P65" s="195"/>
      <c r="Q65" s="196"/>
      <c r="R65" s="191"/>
      <c r="S65" s="191"/>
      <c r="T65" s="191"/>
      <c r="U65" s="191"/>
      <c r="V65" s="191"/>
      <c r="W65" s="191"/>
      <c r="X65" s="191"/>
    </row>
    <row r="66" spans="1:24" ht="13.5" customHeight="1" thickBot="1">
      <c r="A66" s="256" t="s">
        <v>111</v>
      </c>
      <c r="B66" s="256"/>
      <c r="D66" s="189"/>
      <c r="E66" s="190"/>
      <c r="F66" s="191"/>
      <c r="G66" s="191"/>
      <c r="H66" s="191"/>
      <c r="I66" s="191"/>
      <c r="J66" s="191"/>
      <c r="K66" s="191"/>
      <c r="L66" s="191"/>
      <c r="P66" s="189"/>
      <c r="Q66" s="190"/>
      <c r="R66" s="191"/>
      <c r="S66" s="191"/>
      <c r="T66" s="191"/>
      <c r="U66" s="191"/>
      <c r="V66" s="191"/>
      <c r="W66" s="191"/>
      <c r="X66" s="191"/>
    </row>
    <row r="67" spans="1:26" ht="18.75" customHeight="1" thickBot="1">
      <c r="A67" s="147" t="s">
        <v>82</v>
      </c>
      <c r="B67" s="213"/>
      <c r="C67" s="148"/>
      <c r="D67" s="248" t="s">
        <v>83</v>
      </c>
      <c r="E67" s="249"/>
      <c r="F67" s="249"/>
      <c r="G67" s="249"/>
      <c r="H67" s="249"/>
      <c r="I67" s="249"/>
      <c r="J67" s="249"/>
      <c r="K67" s="249"/>
      <c r="L67" s="249"/>
      <c r="M67" s="249"/>
      <c r="N67" s="250"/>
      <c r="P67" s="248" t="s">
        <v>84</v>
      </c>
      <c r="Q67" s="249"/>
      <c r="R67" s="249"/>
      <c r="S67" s="249"/>
      <c r="T67" s="249"/>
      <c r="U67" s="249"/>
      <c r="V67" s="249"/>
      <c r="W67" s="249"/>
      <c r="X67" s="249"/>
      <c r="Y67" s="249"/>
      <c r="Z67" s="250"/>
    </row>
    <row r="68" spans="1:26" ht="13.5" customHeight="1" thickBot="1">
      <c r="A68" s="149" t="s">
        <v>71</v>
      </c>
      <c r="B68" s="240">
        <f>INDEX(Sonneblom!M9:O14,MATCH($B$72,Sonopbrengspeil,0),2)</f>
        <v>5562.581795402418</v>
      </c>
      <c r="C68" s="150"/>
      <c r="D68" s="151"/>
      <c r="E68" s="152"/>
      <c r="F68" s="153"/>
      <c r="G68" s="154"/>
      <c r="H68" s="153"/>
      <c r="I68" s="153"/>
      <c r="J68" s="153" t="s">
        <v>72</v>
      </c>
      <c r="K68" s="155"/>
      <c r="L68" s="153"/>
      <c r="M68" s="155"/>
      <c r="N68" s="153"/>
      <c r="P68" s="151"/>
      <c r="Q68" s="152"/>
      <c r="R68" s="153"/>
      <c r="S68" s="154"/>
      <c r="T68" s="153"/>
      <c r="U68" s="153"/>
      <c r="V68" s="153" t="s">
        <v>72</v>
      </c>
      <c r="W68" s="155"/>
      <c r="X68" s="153"/>
      <c r="Y68" s="155"/>
      <c r="Z68" s="153"/>
    </row>
    <row r="69" spans="1:26" ht="13.5" customHeight="1" thickBot="1">
      <c r="A69" s="156" t="s">
        <v>73</v>
      </c>
      <c r="B69" s="240">
        <f>INDEX(Sonneblom!M9:O14,MATCH($B$72,Sonopbrengspeil,0),3)</f>
        <v>2380.593781438091</v>
      </c>
      <c r="C69" s="150"/>
      <c r="D69" s="248" t="s">
        <v>74</v>
      </c>
      <c r="E69" s="250"/>
      <c r="F69" s="197">
        <f>G69-200</f>
        <v>5200</v>
      </c>
      <c r="G69" s="197">
        <f>H69-200</f>
        <v>5400</v>
      </c>
      <c r="H69" s="197">
        <f>I69-200</f>
        <v>5600</v>
      </c>
      <c r="I69" s="198">
        <f>J69-200</f>
        <v>5800</v>
      </c>
      <c r="J69" s="199">
        <f>B74</f>
        <v>6000</v>
      </c>
      <c r="K69" s="198">
        <f>J69+200</f>
        <v>6200</v>
      </c>
      <c r="L69" s="198">
        <f>K69+200</f>
        <v>6400</v>
      </c>
      <c r="M69" s="198">
        <f>L69+200</f>
        <v>6600</v>
      </c>
      <c r="N69" s="198">
        <f>M69+200</f>
        <v>6800</v>
      </c>
      <c r="P69" s="248" t="s">
        <v>74</v>
      </c>
      <c r="Q69" s="250"/>
      <c r="R69" s="197">
        <f>S69-200</f>
        <v>5200</v>
      </c>
      <c r="S69" s="197">
        <f>T69-200</f>
        <v>5400</v>
      </c>
      <c r="T69" s="197">
        <f>U69-200</f>
        <v>5600</v>
      </c>
      <c r="U69" s="198">
        <f>V69-200</f>
        <v>5800</v>
      </c>
      <c r="V69" s="199">
        <f>J69</f>
        <v>6000</v>
      </c>
      <c r="W69" s="198">
        <f>V69+200</f>
        <v>6200</v>
      </c>
      <c r="X69" s="198">
        <f>W69+200</f>
        <v>6400</v>
      </c>
      <c r="Y69" s="198">
        <f>X69+200</f>
        <v>6600</v>
      </c>
      <c r="Z69" s="198">
        <f>Y69+200</f>
        <v>6800</v>
      </c>
    </row>
    <row r="70" spans="1:26" ht="13.5" customHeight="1" thickBot="1">
      <c r="A70" s="161" t="s">
        <v>75</v>
      </c>
      <c r="B70" s="162">
        <f>B69+B68</f>
        <v>7943.175576840509</v>
      </c>
      <c r="C70" s="163"/>
      <c r="D70" s="251" t="s">
        <v>76</v>
      </c>
      <c r="E70" s="252"/>
      <c r="F70" s="200">
        <f aca="true" t="shared" si="17" ref="F70:N70">F69-$B$75</f>
        <v>4878</v>
      </c>
      <c r="G70" s="200">
        <f t="shared" si="17"/>
        <v>5078</v>
      </c>
      <c r="H70" s="200">
        <f t="shared" si="17"/>
        <v>5278</v>
      </c>
      <c r="I70" s="200">
        <f t="shared" si="17"/>
        <v>5478</v>
      </c>
      <c r="J70" s="201">
        <f t="shared" si="17"/>
        <v>5678</v>
      </c>
      <c r="K70" s="200">
        <f t="shared" si="17"/>
        <v>5878</v>
      </c>
      <c r="L70" s="200">
        <f t="shared" si="17"/>
        <v>6078</v>
      </c>
      <c r="M70" s="200">
        <f t="shared" si="17"/>
        <v>6278</v>
      </c>
      <c r="N70" s="200">
        <f t="shared" si="17"/>
        <v>6478</v>
      </c>
      <c r="P70" s="251" t="s">
        <v>76</v>
      </c>
      <c r="Q70" s="252"/>
      <c r="R70" s="200">
        <f aca="true" t="shared" si="18" ref="R70:Z70">R69-$B$75</f>
        <v>4878</v>
      </c>
      <c r="S70" s="200">
        <f t="shared" si="18"/>
        <v>5078</v>
      </c>
      <c r="T70" s="200">
        <f t="shared" si="18"/>
        <v>5278</v>
      </c>
      <c r="U70" s="200">
        <f t="shared" si="18"/>
        <v>5478</v>
      </c>
      <c r="V70" s="201">
        <f t="shared" si="18"/>
        <v>5678</v>
      </c>
      <c r="W70" s="200">
        <f t="shared" si="18"/>
        <v>5878</v>
      </c>
      <c r="X70" s="200">
        <f t="shared" si="18"/>
        <v>6078</v>
      </c>
      <c r="Y70" s="200">
        <f t="shared" si="18"/>
        <v>6278</v>
      </c>
      <c r="Z70" s="200">
        <f t="shared" si="18"/>
        <v>6478</v>
      </c>
    </row>
    <row r="71" spans="1:26" ht="13.5" customHeight="1" thickBot="1">
      <c r="A71" s="167"/>
      <c r="B71" s="168"/>
      <c r="C71" s="150"/>
      <c r="D71" s="253" t="s">
        <v>77</v>
      </c>
      <c r="E71" s="169">
        <f>E72-0.25</f>
        <v>1</v>
      </c>
      <c r="F71" s="170">
        <f aca="true" t="shared" si="19" ref="F71:N75">F$70-($B$70/$E71)</f>
        <v>-3065.175576840509</v>
      </c>
      <c r="G71" s="170">
        <f t="shared" si="19"/>
        <v>-2865.175576840509</v>
      </c>
      <c r="H71" s="170">
        <f t="shared" si="19"/>
        <v>-2665.175576840509</v>
      </c>
      <c r="I71" s="170">
        <f t="shared" si="19"/>
        <v>-2465.175576840509</v>
      </c>
      <c r="J71" s="170">
        <f t="shared" si="19"/>
        <v>-2265.175576840509</v>
      </c>
      <c r="K71" s="170">
        <f t="shared" si="19"/>
        <v>-2065.175576840509</v>
      </c>
      <c r="L71" s="170">
        <f t="shared" si="19"/>
        <v>-1865.1755768405092</v>
      </c>
      <c r="M71" s="170">
        <f t="shared" si="19"/>
        <v>-1665.1755768405092</v>
      </c>
      <c r="N71" s="170">
        <f t="shared" si="19"/>
        <v>-1465.1755768405092</v>
      </c>
      <c r="P71" s="253" t="s">
        <v>77</v>
      </c>
      <c r="Q71" s="169">
        <f>Q72-0.25</f>
        <v>1</v>
      </c>
      <c r="R71" s="170">
        <f aca="true" t="shared" si="20" ref="R71:Z75">R$70-($B$68/$E71)</f>
        <v>-684.5817954024178</v>
      </c>
      <c r="S71" s="170">
        <f t="shared" si="20"/>
        <v>-484.5817954024178</v>
      </c>
      <c r="T71" s="170">
        <f t="shared" si="20"/>
        <v>-284.5817954024178</v>
      </c>
      <c r="U71" s="170">
        <f t="shared" si="20"/>
        <v>-84.58179540241781</v>
      </c>
      <c r="V71" s="170">
        <f t="shared" si="20"/>
        <v>115.41820459758219</v>
      </c>
      <c r="W71" s="170">
        <f t="shared" si="20"/>
        <v>315.4182045975822</v>
      </c>
      <c r="X71" s="170">
        <f t="shared" si="20"/>
        <v>515.4182045975822</v>
      </c>
      <c r="Y71" s="170">
        <f t="shared" si="20"/>
        <v>715.4182045975822</v>
      </c>
      <c r="Z71" s="170">
        <f t="shared" si="20"/>
        <v>915.4182045975822</v>
      </c>
    </row>
    <row r="72" spans="1:26" ht="13.5" customHeight="1" thickBot="1">
      <c r="A72" s="174" t="s">
        <v>78</v>
      </c>
      <c r="B72" s="244">
        <f>Sonneblom!F5</f>
        <v>1.5</v>
      </c>
      <c r="C72" s="150"/>
      <c r="D72" s="254"/>
      <c r="E72" s="169">
        <f>E73-0.25</f>
        <v>1.25</v>
      </c>
      <c r="F72" s="170">
        <f t="shared" si="19"/>
        <v>-1476.5404614724075</v>
      </c>
      <c r="G72" s="170">
        <f t="shared" si="19"/>
        <v>-1276.5404614724075</v>
      </c>
      <c r="H72" s="170">
        <f t="shared" si="19"/>
        <v>-1076.5404614724075</v>
      </c>
      <c r="I72" s="170">
        <f t="shared" si="19"/>
        <v>-876.5404614724075</v>
      </c>
      <c r="J72" s="170">
        <f t="shared" si="19"/>
        <v>-676.5404614724075</v>
      </c>
      <c r="K72" s="170">
        <f t="shared" si="19"/>
        <v>-476.5404614724075</v>
      </c>
      <c r="L72" s="170">
        <f t="shared" si="19"/>
        <v>-276.5404614724075</v>
      </c>
      <c r="M72" s="170">
        <f t="shared" si="19"/>
        <v>-76.54046147240751</v>
      </c>
      <c r="N72" s="170">
        <f t="shared" si="19"/>
        <v>123.45953852759249</v>
      </c>
      <c r="P72" s="254"/>
      <c r="Q72" s="169">
        <f>Q73-0.25</f>
        <v>1.25</v>
      </c>
      <c r="R72" s="170">
        <f t="shared" si="20"/>
        <v>427.9345636780654</v>
      </c>
      <c r="S72" s="170">
        <f t="shared" si="20"/>
        <v>627.9345636780654</v>
      </c>
      <c r="T72" s="170">
        <f t="shared" si="20"/>
        <v>827.9345636780654</v>
      </c>
      <c r="U72" s="170">
        <f t="shared" si="20"/>
        <v>1027.9345636780654</v>
      </c>
      <c r="V72" s="170">
        <f t="shared" si="20"/>
        <v>1227.9345636780654</v>
      </c>
      <c r="W72" s="170">
        <f t="shared" si="20"/>
        <v>1427.9345636780654</v>
      </c>
      <c r="X72" s="170">
        <f t="shared" si="20"/>
        <v>1627.9345636780654</v>
      </c>
      <c r="Y72" s="170">
        <f t="shared" si="20"/>
        <v>1827.9345636780654</v>
      </c>
      <c r="Z72" s="170">
        <f t="shared" si="20"/>
        <v>2027.9345636780654</v>
      </c>
    </row>
    <row r="73" spans="1:26" ht="13.5" customHeight="1" thickBot="1">
      <c r="A73" s="167"/>
      <c r="B73" s="168"/>
      <c r="C73" s="150"/>
      <c r="D73" s="254"/>
      <c r="E73" s="179">
        <f>B72</f>
        <v>1.5</v>
      </c>
      <c r="F73" s="170">
        <f t="shared" si="19"/>
        <v>-417.45038456033944</v>
      </c>
      <c r="G73" s="170">
        <f t="shared" si="19"/>
        <v>-217.45038456033944</v>
      </c>
      <c r="H73" s="170">
        <f t="shared" si="19"/>
        <v>-17.450384560339444</v>
      </c>
      <c r="I73" s="170">
        <f t="shared" si="19"/>
        <v>182.54961543966056</v>
      </c>
      <c r="J73" s="170">
        <f t="shared" si="19"/>
        <v>382.54961543966056</v>
      </c>
      <c r="K73" s="170">
        <f t="shared" si="19"/>
        <v>582.5496154396606</v>
      </c>
      <c r="L73" s="170">
        <f>L$70-($B$70/$E73)</f>
        <v>782.5496154396606</v>
      </c>
      <c r="M73" s="170">
        <f t="shared" si="19"/>
        <v>982.5496154396606</v>
      </c>
      <c r="N73" s="170">
        <f t="shared" si="19"/>
        <v>1182.5496154396606</v>
      </c>
      <c r="P73" s="254"/>
      <c r="Q73" s="179">
        <f>E73</f>
        <v>1.5</v>
      </c>
      <c r="R73" s="170">
        <f t="shared" si="20"/>
        <v>1169.612136398388</v>
      </c>
      <c r="S73" s="170">
        <f t="shared" si="20"/>
        <v>1369.612136398388</v>
      </c>
      <c r="T73" s="170">
        <f t="shared" si="20"/>
        <v>1569.612136398388</v>
      </c>
      <c r="U73" s="170">
        <f t="shared" si="20"/>
        <v>1769.612136398388</v>
      </c>
      <c r="V73" s="170">
        <f t="shared" si="20"/>
        <v>1969.612136398388</v>
      </c>
      <c r="W73" s="170">
        <f t="shared" si="20"/>
        <v>2169.612136398388</v>
      </c>
      <c r="X73" s="170">
        <f t="shared" si="20"/>
        <v>2369.612136398388</v>
      </c>
      <c r="Y73" s="170">
        <f t="shared" si="20"/>
        <v>2569.612136398388</v>
      </c>
      <c r="Z73" s="170">
        <f t="shared" si="20"/>
        <v>2769.612136398388</v>
      </c>
    </row>
    <row r="74" spans="1:26" ht="13.5" customHeight="1" thickBot="1">
      <c r="A74" s="180" t="s">
        <v>105</v>
      </c>
      <c r="B74" s="181">
        <f>B5</f>
        <v>6000</v>
      </c>
      <c r="C74" s="150"/>
      <c r="D74" s="254"/>
      <c r="E74" s="169">
        <f>E73+0.25</f>
        <v>1.75</v>
      </c>
      <c r="F74" s="170">
        <f t="shared" si="19"/>
        <v>339.04252751970944</v>
      </c>
      <c r="G74" s="170">
        <f t="shared" si="19"/>
        <v>539.0425275197094</v>
      </c>
      <c r="H74" s="170">
        <f t="shared" si="19"/>
        <v>739.0425275197094</v>
      </c>
      <c r="I74" s="170">
        <f t="shared" si="19"/>
        <v>939.0425275197094</v>
      </c>
      <c r="J74" s="170">
        <f t="shared" si="19"/>
        <v>1139.0425275197094</v>
      </c>
      <c r="K74" s="170">
        <f t="shared" si="19"/>
        <v>1339.0425275197094</v>
      </c>
      <c r="L74" s="170">
        <f t="shared" si="19"/>
        <v>1539.0425275197094</v>
      </c>
      <c r="M74" s="170">
        <f t="shared" si="19"/>
        <v>1739.0425275197094</v>
      </c>
      <c r="N74" s="170">
        <f t="shared" si="19"/>
        <v>1939.0425275197094</v>
      </c>
      <c r="P74" s="254"/>
      <c r="Q74" s="169">
        <f>Q73+0.25</f>
        <v>1.75</v>
      </c>
      <c r="R74" s="170">
        <f t="shared" si="20"/>
        <v>1699.3818311986183</v>
      </c>
      <c r="S74" s="170">
        <f t="shared" si="20"/>
        <v>1899.3818311986183</v>
      </c>
      <c r="T74" s="170">
        <f t="shared" si="20"/>
        <v>2099.3818311986183</v>
      </c>
      <c r="U74" s="170">
        <f t="shared" si="20"/>
        <v>2299.3818311986183</v>
      </c>
      <c r="V74" s="170">
        <f t="shared" si="20"/>
        <v>2499.3818311986183</v>
      </c>
      <c r="W74" s="170">
        <f t="shared" si="20"/>
        <v>2699.3818311986183</v>
      </c>
      <c r="X74" s="170">
        <f t="shared" si="20"/>
        <v>2899.3818311986183</v>
      </c>
      <c r="Y74" s="170">
        <f t="shared" si="20"/>
        <v>3099.3818311986183</v>
      </c>
      <c r="Z74" s="170">
        <f t="shared" si="20"/>
        <v>3299.3818311986183</v>
      </c>
    </row>
    <row r="75" spans="1:26" ht="13.5" customHeight="1" thickBot="1">
      <c r="A75" s="182" t="s">
        <v>80</v>
      </c>
      <c r="B75" s="181">
        <f>D5</f>
        <v>322</v>
      </c>
      <c r="C75" s="150"/>
      <c r="D75" s="255"/>
      <c r="E75" s="169">
        <f>E74+0.25</f>
        <v>2</v>
      </c>
      <c r="F75" s="170">
        <f>F$70-($B$70/$E75)</f>
        <v>906.4122115797454</v>
      </c>
      <c r="G75" s="170">
        <f t="shared" si="19"/>
        <v>1106.4122115797454</v>
      </c>
      <c r="H75" s="170">
        <f t="shared" si="19"/>
        <v>1306.4122115797454</v>
      </c>
      <c r="I75" s="170">
        <f t="shared" si="19"/>
        <v>1506.4122115797454</v>
      </c>
      <c r="J75" s="170">
        <f t="shared" si="19"/>
        <v>1706.4122115797454</v>
      </c>
      <c r="K75" s="170">
        <f t="shared" si="19"/>
        <v>1906.4122115797454</v>
      </c>
      <c r="L75" s="170">
        <f t="shared" si="19"/>
        <v>2106.4122115797454</v>
      </c>
      <c r="M75" s="170">
        <f t="shared" si="19"/>
        <v>2306.4122115797454</v>
      </c>
      <c r="N75" s="170">
        <f t="shared" si="19"/>
        <v>2506.4122115797454</v>
      </c>
      <c r="P75" s="255"/>
      <c r="Q75" s="169">
        <f>Q74+0.25</f>
        <v>2</v>
      </c>
      <c r="R75" s="170">
        <f>R$70-($B$68/$E75)</f>
        <v>2096.709102298791</v>
      </c>
      <c r="S75" s="170">
        <f t="shared" si="20"/>
        <v>2296.709102298791</v>
      </c>
      <c r="T75" s="170">
        <f t="shared" si="20"/>
        <v>2496.709102298791</v>
      </c>
      <c r="U75" s="170">
        <f t="shared" si="20"/>
        <v>2696.709102298791</v>
      </c>
      <c r="V75" s="170">
        <f t="shared" si="20"/>
        <v>2896.709102298791</v>
      </c>
      <c r="W75" s="170">
        <f t="shared" si="20"/>
        <v>3096.709102298791</v>
      </c>
      <c r="X75" s="170">
        <f t="shared" si="20"/>
        <v>3296.709102298791</v>
      </c>
      <c r="Y75" s="170">
        <f t="shared" si="20"/>
        <v>3496.709102298791</v>
      </c>
      <c r="Z75" s="170">
        <f t="shared" si="20"/>
        <v>3696.709102298791</v>
      </c>
    </row>
    <row r="76" spans="1:24" ht="13.5" customHeight="1" thickBot="1">
      <c r="A76" s="187" t="s">
        <v>81</v>
      </c>
      <c r="B76" s="188">
        <f>B74-B75</f>
        <v>5678</v>
      </c>
      <c r="C76" s="150"/>
      <c r="D76" s="189"/>
      <c r="E76" s="190"/>
      <c r="F76" s="191"/>
      <c r="G76" s="191"/>
      <c r="H76" s="191"/>
      <c r="I76" s="191"/>
      <c r="J76" s="191"/>
      <c r="K76" s="191"/>
      <c r="L76" s="191"/>
      <c r="P76" s="189"/>
      <c r="Q76" s="190"/>
      <c r="R76" s="191"/>
      <c r="S76" s="191"/>
      <c r="T76" s="191"/>
      <c r="U76" s="191"/>
      <c r="V76" s="191"/>
      <c r="W76" s="191"/>
      <c r="X76" s="191"/>
    </row>
    <row r="77" spans="1:24" ht="13.5" customHeight="1">
      <c r="A77" s="192"/>
      <c r="B77" s="193"/>
      <c r="C77" s="150"/>
      <c r="D77" s="189"/>
      <c r="E77" s="190"/>
      <c r="F77" s="191"/>
      <c r="G77" s="191"/>
      <c r="H77" s="191"/>
      <c r="I77" s="191"/>
      <c r="J77" s="191"/>
      <c r="K77" s="191"/>
      <c r="L77" s="191"/>
      <c r="P77" s="189"/>
      <c r="Q77" s="190"/>
      <c r="R77" s="191"/>
      <c r="S77" s="191"/>
      <c r="T77" s="191"/>
      <c r="U77" s="191"/>
      <c r="V77" s="191"/>
      <c r="W77" s="191"/>
      <c r="X77" s="191"/>
    </row>
    <row r="78" spans="1:24" ht="13.5" customHeight="1">
      <c r="A78" s="145"/>
      <c r="B78" s="145"/>
      <c r="D78" s="189"/>
      <c r="E78" s="190"/>
      <c r="F78" s="191"/>
      <c r="G78" s="191"/>
      <c r="H78" s="191"/>
      <c r="I78" s="191"/>
      <c r="J78" s="191"/>
      <c r="K78" s="191"/>
      <c r="L78" s="191"/>
      <c r="P78" s="189"/>
      <c r="Q78" s="190"/>
      <c r="R78" s="191"/>
      <c r="S78" s="191"/>
      <c r="T78" s="191"/>
      <c r="U78" s="191"/>
      <c r="V78" s="191"/>
      <c r="W78" s="191"/>
      <c r="X78" s="191"/>
    </row>
    <row r="79" spans="1:2" ht="13.5" customHeight="1" thickBot="1">
      <c r="A79" s="256" t="s">
        <v>110</v>
      </c>
      <c r="B79" s="256"/>
    </row>
    <row r="80" spans="1:26" ht="19.5" customHeight="1" thickBot="1">
      <c r="A80" s="147" t="s">
        <v>85</v>
      </c>
      <c r="B80" s="213"/>
      <c r="C80" s="148"/>
      <c r="D80" s="248" t="s">
        <v>86</v>
      </c>
      <c r="E80" s="249"/>
      <c r="F80" s="249"/>
      <c r="G80" s="249"/>
      <c r="H80" s="249"/>
      <c r="I80" s="249"/>
      <c r="J80" s="249"/>
      <c r="K80" s="249"/>
      <c r="L80" s="249"/>
      <c r="M80" s="249"/>
      <c r="N80" s="250"/>
      <c r="P80" s="248" t="s">
        <v>87</v>
      </c>
      <c r="Q80" s="249"/>
      <c r="R80" s="249"/>
      <c r="S80" s="249"/>
      <c r="T80" s="249"/>
      <c r="U80" s="249"/>
      <c r="V80" s="249"/>
      <c r="W80" s="249"/>
      <c r="X80" s="249"/>
      <c r="Y80" s="249"/>
      <c r="Z80" s="250"/>
    </row>
    <row r="81" spans="1:26" ht="13.5" customHeight="1" thickBot="1">
      <c r="A81" s="149" t="s">
        <v>71</v>
      </c>
      <c r="B81" s="240">
        <f>INDEX(Sojabone!M9:O13,MATCH($B$85,Sojaopbrengspeil,0),2)</f>
        <v>5473.857433735642</v>
      </c>
      <c r="C81" s="202"/>
      <c r="D81" s="151"/>
      <c r="E81" s="152"/>
      <c r="F81" s="153"/>
      <c r="G81" s="154"/>
      <c r="H81" s="153"/>
      <c r="I81" s="153"/>
      <c r="J81" s="153" t="s">
        <v>88</v>
      </c>
      <c r="K81" s="155"/>
      <c r="L81" s="153"/>
      <c r="M81" s="155"/>
      <c r="N81" s="153"/>
      <c r="P81" s="151"/>
      <c r="Q81" s="152"/>
      <c r="R81" s="153"/>
      <c r="S81" s="154"/>
      <c r="T81" s="153"/>
      <c r="U81" s="153"/>
      <c r="V81" s="153" t="s">
        <v>88</v>
      </c>
      <c r="W81" s="155"/>
      <c r="X81" s="153"/>
      <c r="Y81" s="155"/>
      <c r="Z81" s="153"/>
    </row>
    <row r="82" spans="1:26" ht="13.5" customHeight="1" thickBot="1">
      <c r="A82" s="156" t="s">
        <v>73</v>
      </c>
      <c r="B82" s="240">
        <f>INDEX(Sojabone!M9:O13,MATCH($B$85,Sojaopbrengspeil,0),3)</f>
        <v>2201.8287814380915</v>
      </c>
      <c r="C82" s="202"/>
      <c r="D82" s="248" t="s">
        <v>74</v>
      </c>
      <c r="E82" s="250"/>
      <c r="F82" s="159">
        <f>G82-200</f>
        <v>5400</v>
      </c>
      <c r="G82" s="159">
        <f>H82-200</f>
        <v>5600</v>
      </c>
      <c r="H82" s="159">
        <f>I82-200</f>
        <v>5800</v>
      </c>
      <c r="I82" s="159">
        <f>J82-200</f>
        <v>6000</v>
      </c>
      <c r="J82" s="160">
        <f>B87</f>
        <v>6200</v>
      </c>
      <c r="K82" s="159">
        <f>J82+200</f>
        <v>6400</v>
      </c>
      <c r="L82" s="159">
        <f>K82+200</f>
        <v>6600</v>
      </c>
      <c r="M82" s="159">
        <f>L82+200</f>
        <v>6800</v>
      </c>
      <c r="N82" s="159">
        <f>M82+200</f>
        <v>7000</v>
      </c>
      <c r="P82" s="248" t="s">
        <v>74</v>
      </c>
      <c r="Q82" s="250"/>
      <c r="R82" s="159">
        <f>S82-200</f>
        <v>5400</v>
      </c>
      <c r="S82" s="159">
        <f>T82-200</f>
        <v>5600</v>
      </c>
      <c r="T82" s="159">
        <f>U82-200</f>
        <v>5800</v>
      </c>
      <c r="U82" s="159">
        <f>V82-200</f>
        <v>6000</v>
      </c>
      <c r="V82" s="160">
        <f>J82</f>
        <v>6200</v>
      </c>
      <c r="W82" s="159">
        <f>V82+200</f>
        <v>6400</v>
      </c>
      <c r="X82" s="159">
        <f>W82+200</f>
        <v>6600</v>
      </c>
      <c r="Y82" s="159">
        <f>X82+200</f>
        <v>6800</v>
      </c>
      <c r="Z82" s="159">
        <f>Y82+200</f>
        <v>7000</v>
      </c>
    </row>
    <row r="83" spans="1:26" ht="13.5" customHeight="1" thickBot="1">
      <c r="A83" s="161" t="s">
        <v>75</v>
      </c>
      <c r="B83" s="162">
        <f>B82+B81</f>
        <v>7675.686215173733</v>
      </c>
      <c r="C83" s="203"/>
      <c r="D83" s="251" t="s">
        <v>76</v>
      </c>
      <c r="E83" s="252"/>
      <c r="F83" s="204">
        <f aca="true" t="shared" si="21" ref="F83:N83">F82-$B$88</f>
        <v>5337</v>
      </c>
      <c r="G83" s="164">
        <f t="shared" si="21"/>
        <v>5537</v>
      </c>
      <c r="H83" s="164">
        <f t="shared" si="21"/>
        <v>5737</v>
      </c>
      <c r="I83" s="164">
        <f t="shared" si="21"/>
        <v>5937</v>
      </c>
      <c r="J83" s="166">
        <f t="shared" si="21"/>
        <v>6137</v>
      </c>
      <c r="K83" s="164">
        <f t="shared" si="21"/>
        <v>6337</v>
      </c>
      <c r="L83" s="164">
        <f t="shared" si="21"/>
        <v>6537</v>
      </c>
      <c r="M83" s="164">
        <f t="shared" si="21"/>
        <v>6737</v>
      </c>
      <c r="N83" s="164">
        <f t="shared" si="21"/>
        <v>6937</v>
      </c>
      <c r="P83" s="251" t="s">
        <v>76</v>
      </c>
      <c r="Q83" s="252"/>
      <c r="R83" s="164">
        <f aca="true" t="shared" si="22" ref="R83:Z83">R82-$B$88</f>
        <v>5337</v>
      </c>
      <c r="S83" s="164">
        <f t="shared" si="22"/>
        <v>5537</v>
      </c>
      <c r="T83" s="164">
        <f t="shared" si="22"/>
        <v>5737</v>
      </c>
      <c r="U83" s="164">
        <f t="shared" si="22"/>
        <v>5937</v>
      </c>
      <c r="V83" s="166">
        <f t="shared" si="22"/>
        <v>6137</v>
      </c>
      <c r="W83" s="164">
        <f t="shared" si="22"/>
        <v>6337</v>
      </c>
      <c r="X83" s="164">
        <f t="shared" si="22"/>
        <v>6537</v>
      </c>
      <c r="Y83" s="164">
        <f t="shared" si="22"/>
        <v>6737</v>
      </c>
      <c r="Z83" s="164">
        <f t="shared" si="22"/>
        <v>6937</v>
      </c>
    </row>
    <row r="84" spans="1:26" ht="13.5" customHeight="1" thickBot="1">
      <c r="A84" s="167"/>
      <c r="B84" s="168"/>
      <c r="C84" s="205"/>
      <c r="D84" s="253" t="s">
        <v>77</v>
      </c>
      <c r="E84" s="169">
        <f>E85-0.25</f>
        <v>1</v>
      </c>
      <c r="F84" s="170">
        <f>F$83-($B$83/$E84)</f>
        <v>-2338.686215173733</v>
      </c>
      <c r="G84" s="171">
        <f aca="true" t="shared" si="23" ref="F84:N88">G$83-($B$83/$E84)</f>
        <v>-2138.686215173733</v>
      </c>
      <c r="H84" s="171">
        <f t="shared" si="23"/>
        <v>-1938.6862151737332</v>
      </c>
      <c r="I84" s="171">
        <f t="shared" si="23"/>
        <v>-1738.6862151737332</v>
      </c>
      <c r="J84" s="171">
        <f t="shared" si="23"/>
        <v>-1538.6862151737332</v>
      </c>
      <c r="K84" s="171">
        <f t="shared" si="23"/>
        <v>-1338.6862151737332</v>
      </c>
      <c r="L84" s="171">
        <f t="shared" si="23"/>
        <v>-1138.6862151737332</v>
      </c>
      <c r="M84" s="172">
        <f t="shared" si="23"/>
        <v>-938.6862151737332</v>
      </c>
      <c r="N84" s="173">
        <f t="shared" si="23"/>
        <v>-738.6862151737332</v>
      </c>
      <c r="P84" s="253" t="s">
        <v>77</v>
      </c>
      <c r="Q84" s="169">
        <f>Q85-0.25</f>
        <v>1</v>
      </c>
      <c r="R84" s="170">
        <f>R$83-($B$81/$E84)</f>
        <v>-136.8574337356422</v>
      </c>
      <c r="S84" s="170">
        <f aca="true" t="shared" si="24" ref="S84:Z84">S$83-($B$81/$E84)</f>
        <v>63.14256626435781</v>
      </c>
      <c r="T84" s="170">
        <f t="shared" si="24"/>
        <v>263.1425662643578</v>
      </c>
      <c r="U84" s="170">
        <f t="shared" si="24"/>
        <v>463.1425662643578</v>
      </c>
      <c r="V84" s="170">
        <f t="shared" si="24"/>
        <v>663.1425662643578</v>
      </c>
      <c r="W84" s="170">
        <f t="shared" si="24"/>
        <v>863.1425662643578</v>
      </c>
      <c r="X84" s="170">
        <f t="shared" si="24"/>
        <v>1063.1425662643578</v>
      </c>
      <c r="Y84" s="170">
        <f t="shared" si="24"/>
        <v>1263.1425662643578</v>
      </c>
      <c r="Z84" s="170">
        <f t="shared" si="24"/>
        <v>1463.1425662643578</v>
      </c>
    </row>
    <row r="85" spans="1:26" ht="13.5" customHeight="1" thickBot="1">
      <c r="A85" s="174" t="s">
        <v>78</v>
      </c>
      <c r="B85" s="244">
        <f>Sojabone!E5</f>
        <v>1.5</v>
      </c>
      <c r="C85" s="206"/>
      <c r="D85" s="254"/>
      <c r="E85" s="169">
        <f>E86-0.25</f>
        <v>1.25</v>
      </c>
      <c r="F85" s="175">
        <f t="shared" si="23"/>
        <v>-803.5489721389868</v>
      </c>
      <c r="G85" s="176">
        <f t="shared" si="23"/>
        <v>-603.5489721389868</v>
      </c>
      <c r="H85" s="176">
        <f t="shared" si="23"/>
        <v>-403.54897213898676</v>
      </c>
      <c r="I85" s="176">
        <f t="shared" si="23"/>
        <v>-203.54897213898676</v>
      </c>
      <c r="J85" s="176">
        <f t="shared" si="23"/>
        <v>-3.5489721389867555</v>
      </c>
      <c r="K85" s="177">
        <f t="shared" si="23"/>
        <v>196.45102786101324</v>
      </c>
      <c r="L85" s="177">
        <f t="shared" si="23"/>
        <v>396.45102786101324</v>
      </c>
      <c r="M85" s="177">
        <f t="shared" si="23"/>
        <v>596.4510278610132</v>
      </c>
      <c r="N85" s="178">
        <f t="shared" si="23"/>
        <v>796.4510278610132</v>
      </c>
      <c r="P85" s="254"/>
      <c r="Q85" s="169">
        <f>Q86-0.25</f>
        <v>1.25</v>
      </c>
      <c r="R85" s="170">
        <f aca="true" t="shared" si="25" ref="R85:Z88">R$83-($B$81/$E85)</f>
        <v>957.9140530114864</v>
      </c>
      <c r="S85" s="170">
        <f t="shared" si="25"/>
        <v>1157.9140530114864</v>
      </c>
      <c r="T85" s="170">
        <f t="shared" si="25"/>
        <v>1357.9140530114864</v>
      </c>
      <c r="U85" s="170">
        <f t="shared" si="25"/>
        <v>1557.9140530114864</v>
      </c>
      <c r="V85" s="170">
        <f t="shared" si="25"/>
        <v>1757.9140530114864</v>
      </c>
      <c r="W85" s="170">
        <f t="shared" si="25"/>
        <v>1957.9140530114864</v>
      </c>
      <c r="X85" s="170">
        <f t="shared" si="25"/>
        <v>2157.9140530114864</v>
      </c>
      <c r="Y85" s="170">
        <f t="shared" si="25"/>
        <v>2357.9140530114864</v>
      </c>
      <c r="Z85" s="170">
        <f t="shared" si="25"/>
        <v>2557.9140530114864</v>
      </c>
    </row>
    <row r="86" spans="1:26" ht="13.5" customHeight="1" thickBot="1">
      <c r="A86" s="167"/>
      <c r="B86" s="168"/>
      <c r="C86" s="205"/>
      <c r="D86" s="254"/>
      <c r="E86" s="179">
        <f>B85</f>
        <v>1.5</v>
      </c>
      <c r="F86" s="175">
        <f t="shared" si="23"/>
        <v>219.87585655084422</v>
      </c>
      <c r="G86" s="176">
        <f t="shared" si="23"/>
        <v>419.8758565508442</v>
      </c>
      <c r="H86" s="176">
        <f t="shared" si="23"/>
        <v>619.8758565508442</v>
      </c>
      <c r="I86" s="176">
        <f t="shared" si="23"/>
        <v>819.8758565508442</v>
      </c>
      <c r="J86" s="177">
        <f t="shared" si="23"/>
        <v>1019.8758565508442</v>
      </c>
      <c r="K86" s="177">
        <f t="shared" si="23"/>
        <v>1219.8758565508442</v>
      </c>
      <c r="L86" s="177">
        <f t="shared" si="23"/>
        <v>1419.8758565508442</v>
      </c>
      <c r="M86" s="177">
        <f t="shared" si="23"/>
        <v>1619.8758565508442</v>
      </c>
      <c r="N86" s="178">
        <f t="shared" si="23"/>
        <v>1819.8758565508442</v>
      </c>
      <c r="P86" s="254"/>
      <c r="Q86" s="179">
        <f>E86</f>
        <v>1.5</v>
      </c>
      <c r="R86" s="170">
        <f>R$83-($B$81/$E86)</f>
        <v>1687.7617108429054</v>
      </c>
      <c r="S86" s="170">
        <f t="shared" si="25"/>
        <v>1887.7617108429054</v>
      </c>
      <c r="T86" s="170">
        <f t="shared" si="25"/>
        <v>2087.7617108429054</v>
      </c>
      <c r="U86" s="170">
        <f t="shared" si="25"/>
        <v>2287.7617108429054</v>
      </c>
      <c r="V86" s="170">
        <f t="shared" si="25"/>
        <v>2487.7617108429054</v>
      </c>
      <c r="W86" s="170">
        <f t="shared" si="25"/>
        <v>2687.7617108429054</v>
      </c>
      <c r="X86" s="170">
        <f t="shared" si="25"/>
        <v>2887.7617108429054</v>
      </c>
      <c r="Y86" s="170">
        <f t="shared" si="25"/>
        <v>3087.7617108429054</v>
      </c>
      <c r="Z86" s="170">
        <f t="shared" si="25"/>
        <v>3287.7617108429054</v>
      </c>
    </row>
    <row r="87" spans="1:26" ht="13.5" customHeight="1" thickBot="1">
      <c r="A87" s="180" t="s">
        <v>89</v>
      </c>
      <c r="B87" s="207">
        <f>B6</f>
        <v>6200</v>
      </c>
      <c r="C87" s="205"/>
      <c r="D87" s="254"/>
      <c r="E87" s="169">
        <f>E86+0.25</f>
        <v>1.75</v>
      </c>
      <c r="F87" s="175">
        <f t="shared" si="23"/>
        <v>950.8935913292953</v>
      </c>
      <c r="G87" s="176">
        <f t="shared" si="23"/>
        <v>1150.8935913292953</v>
      </c>
      <c r="H87" s="176">
        <f t="shared" si="23"/>
        <v>1350.8935913292953</v>
      </c>
      <c r="I87" s="177">
        <f t="shared" si="23"/>
        <v>1550.8935913292953</v>
      </c>
      <c r="J87" s="177">
        <f t="shared" si="23"/>
        <v>1750.8935913292953</v>
      </c>
      <c r="K87" s="177">
        <f t="shared" si="23"/>
        <v>1950.8935913292953</v>
      </c>
      <c r="L87" s="177">
        <f t="shared" si="23"/>
        <v>2150.8935913292953</v>
      </c>
      <c r="M87" s="177">
        <f t="shared" si="23"/>
        <v>2350.8935913292953</v>
      </c>
      <c r="N87" s="178">
        <f t="shared" si="23"/>
        <v>2550.8935913292953</v>
      </c>
      <c r="P87" s="254"/>
      <c r="Q87" s="169">
        <f>Q86+0.25</f>
        <v>1.75</v>
      </c>
      <c r="R87" s="170">
        <f t="shared" si="25"/>
        <v>2209.081466436776</v>
      </c>
      <c r="S87" s="170">
        <f t="shared" si="25"/>
        <v>2409.081466436776</v>
      </c>
      <c r="T87" s="170">
        <f t="shared" si="25"/>
        <v>2609.081466436776</v>
      </c>
      <c r="U87" s="170">
        <f t="shared" si="25"/>
        <v>2809.081466436776</v>
      </c>
      <c r="V87" s="170">
        <f t="shared" si="25"/>
        <v>3009.081466436776</v>
      </c>
      <c r="W87" s="170">
        <f t="shared" si="25"/>
        <v>3209.081466436776</v>
      </c>
      <c r="X87" s="170">
        <f t="shared" si="25"/>
        <v>3409.081466436776</v>
      </c>
      <c r="Y87" s="170">
        <f t="shared" si="25"/>
        <v>3609.081466436776</v>
      </c>
      <c r="Z87" s="170">
        <f t="shared" si="25"/>
        <v>3809.081466436776</v>
      </c>
    </row>
    <row r="88" spans="1:26" ht="13.5" customHeight="1" thickBot="1">
      <c r="A88" s="182" t="s">
        <v>80</v>
      </c>
      <c r="B88" s="181">
        <f>D6</f>
        <v>63</v>
      </c>
      <c r="C88" s="208"/>
      <c r="D88" s="255"/>
      <c r="E88" s="169">
        <f>E87+0.25</f>
        <v>2</v>
      </c>
      <c r="F88" s="183">
        <f t="shared" si="23"/>
        <v>1499.1568924131334</v>
      </c>
      <c r="G88" s="184">
        <f>G$83-($B$83/$E88)</f>
        <v>1699.1568924131334</v>
      </c>
      <c r="H88" s="185">
        <f t="shared" si="23"/>
        <v>1899.1568924131334</v>
      </c>
      <c r="I88" s="185">
        <f t="shared" si="23"/>
        <v>2099.1568924131334</v>
      </c>
      <c r="J88" s="185">
        <f t="shared" si="23"/>
        <v>2299.1568924131334</v>
      </c>
      <c r="K88" s="185">
        <f t="shared" si="23"/>
        <v>2499.1568924131334</v>
      </c>
      <c r="L88" s="185">
        <f t="shared" si="23"/>
        <v>2699.1568924131334</v>
      </c>
      <c r="M88" s="185">
        <f t="shared" si="23"/>
        <v>2899.1568924131334</v>
      </c>
      <c r="N88" s="186">
        <f t="shared" si="23"/>
        <v>3099.1568924131334</v>
      </c>
      <c r="P88" s="255"/>
      <c r="Q88" s="169">
        <f>Q87+0.25</f>
        <v>2</v>
      </c>
      <c r="R88" s="170">
        <f t="shared" si="25"/>
        <v>2600.071283132179</v>
      </c>
      <c r="S88" s="170">
        <f>S$83-($B$81/$E88)</f>
        <v>2800.071283132179</v>
      </c>
      <c r="T88" s="170">
        <f t="shared" si="25"/>
        <v>3000.071283132179</v>
      </c>
      <c r="U88" s="170">
        <f t="shared" si="25"/>
        <v>3200.071283132179</v>
      </c>
      <c r="V88" s="170">
        <f t="shared" si="25"/>
        <v>3400.071283132179</v>
      </c>
      <c r="W88" s="170">
        <f t="shared" si="25"/>
        <v>3600.071283132179</v>
      </c>
      <c r="X88" s="170">
        <f t="shared" si="25"/>
        <v>3800.071283132179</v>
      </c>
      <c r="Y88" s="170">
        <f t="shared" si="25"/>
        <v>4000.071283132179</v>
      </c>
      <c r="Z88" s="170">
        <f t="shared" si="25"/>
        <v>4200.071283132179</v>
      </c>
    </row>
    <row r="89" spans="1:3" ht="13.5" customHeight="1" thickBot="1">
      <c r="A89" s="187" t="s">
        <v>81</v>
      </c>
      <c r="B89" s="188">
        <f>B87-B88</f>
        <v>6137</v>
      </c>
      <c r="C89" s="208"/>
    </row>
    <row r="90" ht="13.5" customHeight="1"/>
    <row r="91" ht="13.5" customHeight="1"/>
    <row r="92" spans="1:2" ht="13.5" customHeight="1" thickBot="1">
      <c r="A92" s="256" t="s">
        <v>112</v>
      </c>
      <c r="B92" s="256"/>
    </row>
    <row r="93" spans="1:26" ht="19.5" customHeight="1" thickBot="1">
      <c r="A93" s="147" t="s">
        <v>91</v>
      </c>
      <c r="B93" s="213"/>
      <c r="C93" s="148"/>
      <c r="D93" s="248" t="s">
        <v>92</v>
      </c>
      <c r="E93" s="249"/>
      <c r="F93" s="249"/>
      <c r="G93" s="249"/>
      <c r="H93" s="249"/>
      <c r="I93" s="249"/>
      <c r="J93" s="249"/>
      <c r="K93" s="249"/>
      <c r="L93" s="249"/>
      <c r="M93" s="249"/>
      <c r="N93" s="250"/>
      <c r="P93" s="248" t="s">
        <v>93</v>
      </c>
      <c r="Q93" s="249"/>
      <c r="R93" s="249"/>
      <c r="S93" s="249"/>
      <c r="T93" s="249"/>
      <c r="U93" s="249"/>
      <c r="V93" s="249"/>
      <c r="W93" s="249"/>
      <c r="X93" s="249"/>
      <c r="Y93" s="249"/>
      <c r="Z93" s="250"/>
    </row>
    <row r="94" spans="1:26" ht="13.5" customHeight="1" thickBot="1">
      <c r="A94" s="149" t="s">
        <v>71</v>
      </c>
      <c r="B94" s="240">
        <f>INDEX(Sojabone!M9:O13,MATCH($B$98,Sorgopbrengspeil,0),2)</f>
        <v>5810.47623266729</v>
      </c>
      <c r="C94" s="202"/>
      <c r="D94" s="151"/>
      <c r="E94" s="152"/>
      <c r="F94" s="153"/>
      <c r="G94" s="154"/>
      <c r="H94" s="153"/>
      <c r="I94" s="153"/>
      <c r="J94" s="153" t="s">
        <v>88</v>
      </c>
      <c r="K94" s="155"/>
      <c r="L94" s="153"/>
      <c r="M94" s="155"/>
      <c r="N94" s="153"/>
      <c r="P94" s="151"/>
      <c r="Q94" s="152"/>
      <c r="R94" s="153"/>
      <c r="S94" s="154"/>
      <c r="T94" s="153"/>
      <c r="U94" s="153"/>
      <c r="V94" s="153" t="s">
        <v>88</v>
      </c>
      <c r="W94" s="155"/>
      <c r="X94" s="153"/>
      <c r="Y94" s="155"/>
      <c r="Z94" s="153"/>
    </row>
    <row r="95" spans="1:26" ht="13.5" customHeight="1" thickBot="1">
      <c r="A95" s="156" t="s">
        <v>73</v>
      </c>
      <c r="B95" s="240">
        <f>INDEX(Sojabone!M9:O13,MATCH($B$98,Sorgopbrengspeil,0),3)</f>
        <v>2201.8287814380915</v>
      </c>
      <c r="C95" s="202"/>
      <c r="D95" s="248" t="s">
        <v>74</v>
      </c>
      <c r="E95" s="250"/>
      <c r="F95" s="159">
        <f>G95-200</f>
        <v>2700</v>
      </c>
      <c r="G95" s="159">
        <f>H95-200</f>
        <v>2900</v>
      </c>
      <c r="H95" s="159">
        <f>I95-200</f>
        <v>3100</v>
      </c>
      <c r="I95" s="159">
        <f>J95-200</f>
        <v>3300</v>
      </c>
      <c r="J95" s="160">
        <f>B100</f>
        <v>3500</v>
      </c>
      <c r="K95" s="159">
        <f>J95+200</f>
        <v>3700</v>
      </c>
      <c r="L95" s="159">
        <f>K95+200</f>
        <v>3900</v>
      </c>
      <c r="M95" s="159">
        <f>L95+200</f>
        <v>4100</v>
      </c>
      <c r="N95" s="159">
        <f>M95+200</f>
        <v>4300</v>
      </c>
      <c r="P95" s="248" t="s">
        <v>74</v>
      </c>
      <c r="Q95" s="250"/>
      <c r="R95" s="159">
        <f>S95-200</f>
        <v>2700</v>
      </c>
      <c r="S95" s="159">
        <f>T95-200</f>
        <v>2900</v>
      </c>
      <c r="T95" s="159">
        <f>U95-200</f>
        <v>3100</v>
      </c>
      <c r="U95" s="159">
        <f>V95-200</f>
        <v>3300</v>
      </c>
      <c r="V95" s="160">
        <f>J95</f>
        <v>3500</v>
      </c>
      <c r="W95" s="159">
        <f>V95+200</f>
        <v>3700</v>
      </c>
      <c r="X95" s="159">
        <f>W95+200</f>
        <v>3900</v>
      </c>
      <c r="Y95" s="159">
        <f>X95+200</f>
        <v>4100</v>
      </c>
      <c r="Z95" s="159">
        <f>Y95+200</f>
        <v>4300</v>
      </c>
    </row>
    <row r="96" spans="1:26" ht="13.5" customHeight="1" thickBot="1">
      <c r="A96" s="161" t="s">
        <v>75</v>
      </c>
      <c r="B96" s="162">
        <f>B95+B94</f>
        <v>8012.305014105381</v>
      </c>
      <c r="C96" s="203"/>
      <c r="D96" s="251" t="s">
        <v>76</v>
      </c>
      <c r="E96" s="252"/>
      <c r="F96" s="204">
        <f aca="true" t="shared" si="26" ref="F96:N96">F95-$B$88</f>
        <v>2637</v>
      </c>
      <c r="G96" s="164">
        <f t="shared" si="26"/>
        <v>2837</v>
      </c>
      <c r="H96" s="164">
        <f t="shared" si="26"/>
        <v>3037</v>
      </c>
      <c r="I96" s="164">
        <f t="shared" si="26"/>
        <v>3237</v>
      </c>
      <c r="J96" s="160">
        <f>J95-$B$88</f>
        <v>3437</v>
      </c>
      <c r="K96" s="164">
        <f t="shared" si="26"/>
        <v>3637</v>
      </c>
      <c r="L96" s="164">
        <f t="shared" si="26"/>
        <v>3837</v>
      </c>
      <c r="M96" s="164">
        <f t="shared" si="26"/>
        <v>4037</v>
      </c>
      <c r="N96" s="164">
        <f t="shared" si="26"/>
        <v>4237</v>
      </c>
      <c r="P96" s="251" t="s">
        <v>76</v>
      </c>
      <c r="Q96" s="252"/>
      <c r="R96" s="164">
        <f aca="true" t="shared" si="27" ref="R96:Z96">R95-$B$88</f>
        <v>2637</v>
      </c>
      <c r="S96" s="164">
        <f t="shared" si="27"/>
        <v>2837</v>
      </c>
      <c r="T96" s="164">
        <f t="shared" si="27"/>
        <v>3037</v>
      </c>
      <c r="U96" s="164">
        <f t="shared" si="27"/>
        <v>3237</v>
      </c>
      <c r="V96" s="166">
        <f t="shared" si="27"/>
        <v>3437</v>
      </c>
      <c r="W96" s="164">
        <f t="shared" si="27"/>
        <v>3637</v>
      </c>
      <c r="X96" s="164">
        <f t="shared" si="27"/>
        <v>3837</v>
      </c>
      <c r="Y96" s="164">
        <f t="shared" si="27"/>
        <v>4037</v>
      </c>
      <c r="Z96" s="164">
        <f t="shared" si="27"/>
        <v>4237</v>
      </c>
    </row>
    <row r="97" spans="1:26" ht="13.5" customHeight="1" thickBot="1">
      <c r="A97" s="167"/>
      <c r="B97" s="168"/>
      <c r="C97" s="205"/>
      <c r="D97" s="253" t="s">
        <v>77</v>
      </c>
      <c r="E97" s="169">
        <f>E98-0.25</f>
        <v>2.5</v>
      </c>
      <c r="F97" s="170">
        <f>F$96-($B$96/$E97)</f>
        <v>-567.9220056421523</v>
      </c>
      <c r="G97" s="170">
        <f aca="true" t="shared" si="28" ref="G97:N97">G$96-($B$96/$E97)</f>
        <v>-367.92200564215227</v>
      </c>
      <c r="H97" s="170">
        <f t="shared" si="28"/>
        <v>-167.92200564215227</v>
      </c>
      <c r="I97" s="170">
        <f t="shared" si="28"/>
        <v>32.07799435784773</v>
      </c>
      <c r="J97" s="170">
        <f t="shared" si="28"/>
        <v>232.07799435784773</v>
      </c>
      <c r="K97" s="170">
        <f t="shared" si="28"/>
        <v>432.07799435784773</v>
      </c>
      <c r="L97" s="170">
        <f>L$96-($B$96/$E97)</f>
        <v>632.0779943578477</v>
      </c>
      <c r="M97" s="170">
        <f t="shared" si="28"/>
        <v>832.0779943578477</v>
      </c>
      <c r="N97" s="170">
        <f t="shared" si="28"/>
        <v>1032.0779943578477</v>
      </c>
      <c r="P97" s="253" t="s">
        <v>77</v>
      </c>
      <c r="Q97" s="169">
        <f>Q98-0.25</f>
        <v>2.5</v>
      </c>
      <c r="R97" s="170">
        <f>R$96-($B$94/$E97)</f>
        <v>312.80950693308387</v>
      </c>
      <c r="S97" s="170">
        <f aca="true" t="shared" si="29" ref="S97:Z97">S$96-($B$94/$E97)</f>
        <v>512.8095069330839</v>
      </c>
      <c r="T97" s="170">
        <f t="shared" si="29"/>
        <v>712.8095069330839</v>
      </c>
      <c r="U97" s="170">
        <f t="shared" si="29"/>
        <v>912.8095069330839</v>
      </c>
      <c r="V97" s="170">
        <f t="shared" si="29"/>
        <v>1112.8095069330839</v>
      </c>
      <c r="W97" s="170">
        <f t="shared" si="29"/>
        <v>1312.8095069330839</v>
      </c>
      <c r="X97" s="170">
        <f t="shared" si="29"/>
        <v>1512.8095069330839</v>
      </c>
      <c r="Y97" s="170">
        <f t="shared" si="29"/>
        <v>1712.8095069330839</v>
      </c>
      <c r="Z97" s="170">
        <f t="shared" si="29"/>
        <v>1912.8095069330839</v>
      </c>
    </row>
    <row r="98" spans="1:26" ht="13.5" customHeight="1" thickBot="1">
      <c r="A98" s="174" t="s">
        <v>78</v>
      </c>
      <c r="B98" s="244">
        <f>Graansorghum!F5</f>
        <v>3</v>
      </c>
      <c r="C98" s="206"/>
      <c r="D98" s="254"/>
      <c r="E98" s="169">
        <f>E99-0.25</f>
        <v>2.75</v>
      </c>
      <c r="F98" s="170">
        <f aca="true" t="shared" si="30" ref="F98:N101">F$96-($B$96/$E98)</f>
        <v>-276.565459674684</v>
      </c>
      <c r="G98" s="170">
        <f t="shared" si="30"/>
        <v>-76.565459674684</v>
      </c>
      <c r="H98" s="170">
        <f t="shared" si="30"/>
        <v>123.434540325316</v>
      </c>
      <c r="I98" s="170">
        <f t="shared" si="30"/>
        <v>323.434540325316</v>
      </c>
      <c r="J98" s="170">
        <f t="shared" si="30"/>
        <v>523.434540325316</v>
      </c>
      <c r="K98" s="170">
        <f t="shared" si="30"/>
        <v>723.434540325316</v>
      </c>
      <c r="L98" s="170">
        <f t="shared" si="30"/>
        <v>923.434540325316</v>
      </c>
      <c r="M98" s="170">
        <f t="shared" si="30"/>
        <v>1123.434540325316</v>
      </c>
      <c r="N98" s="170">
        <f t="shared" si="30"/>
        <v>1323.434540325316</v>
      </c>
      <c r="P98" s="254"/>
      <c r="Q98" s="169">
        <f>Q99-0.25</f>
        <v>2.75</v>
      </c>
      <c r="R98" s="170">
        <f aca="true" t="shared" si="31" ref="R98:Z101">R$96-($B$94/$E98)</f>
        <v>524.0995517573492</v>
      </c>
      <c r="S98" s="170">
        <f t="shared" si="31"/>
        <v>724.0995517573492</v>
      </c>
      <c r="T98" s="170">
        <f t="shared" si="31"/>
        <v>924.0995517573492</v>
      </c>
      <c r="U98" s="170">
        <f t="shared" si="31"/>
        <v>1124.0995517573492</v>
      </c>
      <c r="V98" s="170">
        <f t="shared" si="31"/>
        <v>1324.0995517573492</v>
      </c>
      <c r="W98" s="170">
        <f t="shared" si="31"/>
        <v>1524.0995517573492</v>
      </c>
      <c r="X98" s="170">
        <f t="shared" si="31"/>
        <v>1724.0995517573492</v>
      </c>
      <c r="Y98" s="170">
        <f t="shared" si="31"/>
        <v>1924.0995517573492</v>
      </c>
      <c r="Z98" s="170">
        <f t="shared" si="31"/>
        <v>2124.099551757349</v>
      </c>
    </row>
    <row r="99" spans="1:26" ht="13.5" customHeight="1" thickBot="1">
      <c r="A99" s="167"/>
      <c r="B99" s="168"/>
      <c r="C99" s="205"/>
      <c r="D99" s="254"/>
      <c r="E99" s="179">
        <f>B98</f>
        <v>3</v>
      </c>
      <c r="F99" s="170">
        <f t="shared" si="30"/>
        <v>-33.76833803512682</v>
      </c>
      <c r="G99" s="170">
        <f t="shared" si="30"/>
        <v>166.23166196487318</v>
      </c>
      <c r="H99" s="170">
        <f t="shared" si="30"/>
        <v>366.2316619648732</v>
      </c>
      <c r="I99" s="170">
        <f t="shared" si="30"/>
        <v>566.2316619648732</v>
      </c>
      <c r="J99" s="170">
        <f t="shared" si="30"/>
        <v>766.2316619648732</v>
      </c>
      <c r="K99" s="170">
        <f t="shared" si="30"/>
        <v>966.2316619648732</v>
      </c>
      <c r="L99" s="170">
        <f t="shared" si="30"/>
        <v>1166.2316619648732</v>
      </c>
      <c r="M99" s="170">
        <f t="shared" si="30"/>
        <v>1366.2316619648732</v>
      </c>
      <c r="N99" s="170">
        <f t="shared" si="30"/>
        <v>1566.2316619648732</v>
      </c>
      <c r="P99" s="254"/>
      <c r="Q99" s="179">
        <f>E99</f>
        <v>3</v>
      </c>
      <c r="R99" s="170">
        <f t="shared" si="31"/>
        <v>700.1745891109033</v>
      </c>
      <c r="S99" s="170">
        <f t="shared" si="31"/>
        <v>900.1745891109033</v>
      </c>
      <c r="T99" s="170">
        <f t="shared" si="31"/>
        <v>1100.1745891109033</v>
      </c>
      <c r="U99" s="170">
        <f t="shared" si="31"/>
        <v>1300.1745891109033</v>
      </c>
      <c r="V99" s="170">
        <f t="shared" si="31"/>
        <v>1500.1745891109033</v>
      </c>
      <c r="W99" s="170">
        <f t="shared" si="31"/>
        <v>1700.1745891109033</v>
      </c>
      <c r="X99" s="170">
        <f t="shared" si="31"/>
        <v>1900.1745891109033</v>
      </c>
      <c r="Y99" s="170">
        <f t="shared" si="31"/>
        <v>2100.174589110903</v>
      </c>
      <c r="Z99" s="170">
        <f t="shared" si="31"/>
        <v>2300.174589110903</v>
      </c>
    </row>
    <row r="100" spans="1:26" ht="13.5" customHeight="1" thickBot="1">
      <c r="A100" s="180" t="s">
        <v>94</v>
      </c>
      <c r="B100" s="207">
        <f>B7</f>
        <v>3500</v>
      </c>
      <c r="C100" s="205"/>
      <c r="D100" s="254"/>
      <c r="E100" s="169">
        <f>E99+0.25</f>
        <v>3.25</v>
      </c>
      <c r="F100" s="170">
        <f t="shared" si="30"/>
        <v>171.67538027526734</v>
      </c>
      <c r="G100" s="170">
        <f t="shared" si="30"/>
        <v>371.67538027526734</v>
      </c>
      <c r="H100" s="170">
        <f t="shared" si="30"/>
        <v>571.6753802752673</v>
      </c>
      <c r="I100" s="170">
        <f t="shared" si="30"/>
        <v>771.6753802752673</v>
      </c>
      <c r="J100" s="170">
        <f t="shared" si="30"/>
        <v>971.6753802752673</v>
      </c>
      <c r="K100" s="170">
        <f t="shared" si="30"/>
        <v>1171.6753802752673</v>
      </c>
      <c r="L100" s="170">
        <f t="shared" si="30"/>
        <v>1371.6753802752673</v>
      </c>
      <c r="M100" s="170">
        <f t="shared" si="30"/>
        <v>1571.6753802752673</v>
      </c>
      <c r="N100" s="170">
        <f t="shared" si="30"/>
        <v>1771.6753802752673</v>
      </c>
      <c r="P100" s="254"/>
      <c r="Q100" s="169">
        <f>Q99+0.25</f>
        <v>3.25</v>
      </c>
      <c r="R100" s="170">
        <f t="shared" si="31"/>
        <v>849.1611591792955</v>
      </c>
      <c r="S100" s="170">
        <f t="shared" si="31"/>
        <v>1049.1611591792955</v>
      </c>
      <c r="T100" s="170">
        <f t="shared" si="31"/>
        <v>1249.1611591792955</v>
      </c>
      <c r="U100" s="170">
        <f t="shared" si="31"/>
        <v>1449.1611591792955</v>
      </c>
      <c r="V100" s="170">
        <f t="shared" si="31"/>
        <v>1649.1611591792955</v>
      </c>
      <c r="W100" s="170">
        <f t="shared" si="31"/>
        <v>1849.1611591792955</v>
      </c>
      <c r="X100" s="170">
        <f t="shared" si="31"/>
        <v>2049.1611591792953</v>
      </c>
      <c r="Y100" s="170">
        <f t="shared" si="31"/>
        <v>2249.1611591792953</v>
      </c>
      <c r="Z100" s="170">
        <f t="shared" si="31"/>
        <v>2449.1611591792953</v>
      </c>
    </row>
    <row r="101" spans="1:26" ht="13.5" customHeight="1" thickBot="1">
      <c r="A101" s="182" t="s">
        <v>80</v>
      </c>
      <c r="B101" s="181">
        <f>D7</f>
        <v>63</v>
      </c>
      <c r="C101" s="208"/>
      <c r="D101" s="255"/>
      <c r="E101" s="169">
        <f>E100+0.25</f>
        <v>3.5</v>
      </c>
      <c r="F101" s="170">
        <f t="shared" si="30"/>
        <v>347.76999596989117</v>
      </c>
      <c r="G101" s="170">
        <f>G$96-($B$96/$E101)</f>
        <v>547.7699959698912</v>
      </c>
      <c r="H101" s="170">
        <f t="shared" si="30"/>
        <v>747.7699959698912</v>
      </c>
      <c r="I101" s="170">
        <f t="shared" si="30"/>
        <v>947.7699959698912</v>
      </c>
      <c r="J101" s="170">
        <f t="shared" si="30"/>
        <v>1147.7699959698912</v>
      </c>
      <c r="K101" s="170">
        <f t="shared" si="30"/>
        <v>1347.7699959698912</v>
      </c>
      <c r="L101" s="170">
        <f t="shared" si="30"/>
        <v>1547.7699959698912</v>
      </c>
      <c r="M101" s="170">
        <f t="shared" si="30"/>
        <v>1747.7699959698912</v>
      </c>
      <c r="N101" s="170">
        <f t="shared" si="30"/>
        <v>1947.7699959698912</v>
      </c>
      <c r="P101" s="255"/>
      <c r="Q101" s="169">
        <f>Q100+0.25</f>
        <v>3.5</v>
      </c>
      <c r="R101" s="170">
        <f t="shared" si="31"/>
        <v>976.8639335236314</v>
      </c>
      <c r="S101" s="170">
        <f>S$96-($B$94/$E101)</f>
        <v>1176.8639335236314</v>
      </c>
      <c r="T101" s="170">
        <f t="shared" si="31"/>
        <v>1376.8639335236314</v>
      </c>
      <c r="U101" s="170">
        <f t="shared" si="31"/>
        <v>1576.8639335236314</v>
      </c>
      <c r="V101" s="170">
        <f t="shared" si="31"/>
        <v>1776.8639335236314</v>
      </c>
      <c r="W101" s="170">
        <f t="shared" si="31"/>
        <v>1976.8639335236314</v>
      </c>
      <c r="X101" s="170">
        <f t="shared" si="31"/>
        <v>2176.863933523631</v>
      </c>
      <c r="Y101" s="170">
        <f t="shared" si="31"/>
        <v>2376.863933523631</v>
      </c>
      <c r="Z101" s="170">
        <f t="shared" si="31"/>
        <v>2576.863933523631</v>
      </c>
    </row>
    <row r="102" spans="1:3" ht="13.5" customHeight="1" thickBot="1">
      <c r="A102" s="187" t="s">
        <v>81</v>
      </c>
      <c r="B102" s="215">
        <f>B100-B101</f>
        <v>3437</v>
      </c>
      <c r="C102" s="208"/>
    </row>
  </sheetData>
  <sheetProtection sheet="1" selectLockedCells="1"/>
  <mergeCells count="63">
    <mergeCell ref="A92:B92"/>
    <mergeCell ref="A14:B14"/>
    <mergeCell ref="A27:B27"/>
    <mergeCell ref="A40:B40"/>
    <mergeCell ref="A53:B53"/>
    <mergeCell ref="A66:B66"/>
    <mergeCell ref="A79:B79"/>
    <mergeCell ref="D97:D101"/>
    <mergeCell ref="P97:P101"/>
    <mergeCell ref="D93:N93"/>
    <mergeCell ref="P93:Z93"/>
    <mergeCell ref="D95:E95"/>
    <mergeCell ref="P95:Q95"/>
    <mergeCell ref="D96:E96"/>
    <mergeCell ref="P96:Q96"/>
    <mergeCell ref="D82:E82"/>
    <mergeCell ref="P82:Q82"/>
    <mergeCell ref="D83:E83"/>
    <mergeCell ref="P83:Q83"/>
    <mergeCell ref="D84:D88"/>
    <mergeCell ref="P84:P88"/>
    <mergeCell ref="D70:E70"/>
    <mergeCell ref="P70:Q70"/>
    <mergeCell ref="D71:D75"/>
    <mergeCell ref="P71:P75"/>
    <mergeCell ref="D80:N80"/>
    <mergeCell ref="P80:Z80"/>
    <mergeCell ref="D58:D62"/>
    <mergeCell ref="P58:P62"/>
    <mergeCell ref="D67:N67"/>
    <mergeCell ref="P67:Z67"/>
    <mergeCell ref="D69:E69"/>
    <mergeCell ref="P69:Q69"/>
    <mergeCell ref="D54:N54"/>
    <mergeCell ref="P54:Z54"/>
    <mergeCell ref="D56:E56"/>
    <mergeCell ref="P56:Q56"/>
    <mergeCell ref="D57:E57"/>
    <mergeCell ref="P57:Q57"/>
    <mergeCell ref="D43:E43"/>
    <mergeCell ref="P43:Q43"/>
    <mergeCell ref="D44:E44"/>
    <mergeCell ref="P44:Q44"/>
    <mergeCell ref="D45:D49"/>
    <mergeCell ref="P45:P49"/>
    <mergeCell ref="D31:E31"/>
    <mergeCell ref="P31:Q31"/>
    <mergeCell ref="D32:D36"/>
    <mergeCell ref="P32:P36"/>
    <mergeCell ref="D41:N41"/>
    <mergeCell ref="P41:Z41"/>
    <mergeCell ref="D19:D23"/>
    <mergeCell ref="P19:P23"/>
    <mergeCell ref="D28:N28"/>
    <mergeCell ref="P28:Z28"/>
    <mergeCell ref="D30:E30"/>
    <mergeCell ref="P30:Q30"/>
    <mergeCell ref="D15:N15"/>
    <mergeCell ref="P15:Z15"/>
    <mergeCell ref="D17:E17"/>
    <mergeCell ref="P17:Q17"/>
    <mergeCell ref="D18:E18"/>
    <mergeCell ref="P18:Q18"/>
  </mergeCells>
  <conditionalFormatting sqref="F19:N23">
    <cfRule type="cellIs" priority="57" dxfId="0" operator="lessThan" stopIfTrue="1">
      <formula>1</formula>
    </cfRule>
    <cfRule type="cellIs" priority="58" dxfId="1" operator="greaterThan" stopIfTrue="1">
      <formula>1</formula>
    </cfRule>
    <cfRule type="cellIs" priority="59" dxfId="0" operator="lessThan" stopIfTrue="1">
      <formula>1</formula>
    </cfRule>
    <cfRule type="cellIs" priority="60" dxfId="1" operator="greaterThan" stopIfTrue="1">
      <formula>1</formula>
    </cfRule>
  </conditionalFormatting>
  <conditionalFormatting sqref="F84:N88">
    <cfRule type="cellIs" priority="53" dxfId="0" operator="lessThan" stopIfTrue="1">
      <formula>1</formula>
    </cfRule>
    <cfRule type="cellIs" priority="54" dxfId="1" operator="greaterThan" stopIfTrue="1">
      <formula>1</formula>
    </cfRule>
    <cfRule type="cellIs" priority="55" dxfId="0" operator="lessThan" stopIfTrue="1">
      <formula>1</formula>
    </cfRule>
    <cfRule type="cellIs" priority="56" dxfId="1" operator="greaterThan" stopIfTrue="1">
      <formula>1</formula>
    </cfRule>
  </conditionalFormatting>
  <conditionalFormatting sqref="R19:Z23">
    <cfRule type="cellIs" priority="49" dxfId="0" operator="lessThan" stopIfTrue="1">
      <formula>1</formula>
    </cfRule>
    <cfRule type="cellIs" priority="50" dxfId="1" operator="greaterThan" stopIfTrue="1">
      <formula>1</formula>
    </cfRule>
    <cfRule type="cellIs" priority="51" dxfId="0" operator="lessThan" stopIfTrue="1">
      <formula>1</formula>
    </cfRule>
    <cfRule type="cellIs" priority="52" dxfId="1" operator="greaterThan" stopIfTrue="1">
      <formula>1</formula>
    </cfRule>
  </conditionalFormatting>
  <conditionalFormatting sqref="R84:Z88">
    <cfRule type="cellIs" priority="45" dxfId="0" operator="lessThan" stopIfTrue="1">
      <formula>1</formula>
    </cfRule>
    <cfRule type="cellIs" priority="46" dxfId="1" operator="greaterThan" stopIfTrue="1">
      <formula>1</formula>
    </cfRule>
    <cfRule type="cellIs" priority="47" dxfId="0" operator="lessThan" stopIfTrue="1">
      <formula>1</formula>
    </cfRule>
    <cfRule type="cellIs" priority="48" dxfId="1" operator="greaterThan" stopIfTrue="1">
      <formula>1</formula>
    </cfRule>
  </conditionalFormatting>
  <conditionalFormatting sqref="F71:N75">
    <cfRule type="cellIs" priority="41" dxfId="0" operator="lessThan" stopIfTrue="1">
      <formula>1</formula>
    </cfRule>
    <cfRule type="cellIs" priority="42" dxfId="1" operator="greaterThan" stopIfTrue="1">
      <formula>1</formula>
    </cfRule>
    <cfRule type="cellIs" priority="43" dxfId="0" operator="lessThan" stopIfTrue="1">
      <formula>1</formula>
    </cfRule>
    <cfRule type="cellIs" priority="44" dxfId="1" operator="greaterThan" stopIfTrue="1">
      <formula>1</formula>
    </cfRule>
  </conditionalFormatting>
  <conditionalFormatting sqref="R71:Z75">
    <cfRule type="cellIs" priority="37" dxfId="0" operator="lessThan" stopIfTrue="1">
      <formula>1</formula>
    </cfRule>
    <cfRule type="cellIs" priority="38" dxfId="1" operator="greaterThan" stopIfTrue="1">
      <formula>1</formula>
    </cfRule>
    <cfRule type="cellIs" priority="39" dxfId="0" operator="lessThan" stopIfTrue="1">
      <formula>1</formula>
    </cfRule>
    <cfRule type="cellIs" priority="40" dxfId="1" operator="greaterThan" stopIfTrue="1">
      <formula>1</formula>
    </cfRule>
  </conditionalFormatting>
  <conditionalFormatting sqref="F32:N36">
    <cfRule type="cellIs" priority="33" dxfId="0" operator="lessThan" stopIfTrue="1">
      <formula>1</formula>
    </cfRule>
    <cfRule type="cellIs" priority="34" dxfId="1" operator="greaterThan" stopIfTrue="1">
      <formula>1</formula>
    </cfRule>
    <cfRule type="cellIs" priority="35" dxfId="0" operator="lessThan" stopIfTrue="1">
      <formula>1</formula>
    </cfRule>
    <cfRule type="cellIs" priority="36" dxfId="1" operator="greaterThan" stopIfTrue="1">
      <formula>1</formula>
    </cfRule>
  </conditionalFormatting>
  <conditionalFormatting sqref="R32:Z36">
    <cfRule type="cellIs" priority="29" dxfId="0" operator="lessThan" stopIfTrue="1">
      <formula>1</formula>
    </cfRule>
    <cfRule type="cellIs" priority="30" dxfId="1" operator="greaterThan" stopIfTrue="1">
      <formula>1</formula>
    </cfRule>
    <cfRule type="cellIs" priority="31" dxfId="0" operator="lessThan" stopIfTrue="1">
      <formula>1</formula>
    </cfRule>
    <cfRule type="cellIs" priority="32" dxfId="1" operator="greaterThan" stopIfTrue="1">
      <formula>1</formula>
    </cfRule>
  </conditionalFormatting>
  <conditionalFormatting sqref="F45:N49">
    <cfRule type="cellIs" priority="25" dxfId="0" operator="lessThan" stopIfTrue="1">
      <formula>1</formula>
    </cfRule>
    <cfRule type="cellIs" priority="26" dxfId="1" operator="greaterThan" stopIfTrue="1">
      <formula>1</formula>
    </cfRule>
    <cfRule type="cellIs" priority="27" dxfId="0" operator="lessThan" stopIfTrue="1">
      <formula>1</formula>
    </cfRule>
    <cfRule type="cellIs" priority="28" dxfId="1" operator="greaterThan" stopIfTrue="1">
      <formula>1</formula>
    </cfRule>
  </conditionalFormatting>
  <conditionalFormatting sqref="R45:Z49">
    <cfRule type="cellIs" priority="21" dxfId="0" operator="lessThan" stopIfTrue="1">
      <formula>1</formula>
    </cfRule>
    <cfRule type="cellIs" priority="22" dxfId="1" operator="greaterThan" stopIfTrue="1">
      <formula>1</formula>
    </cfRule>
    <cfRule type="cellIs" priority="23" dxfId="0" operator="lessThan" stopIfTrue="1">
      <formula>1</formula>
    </cfRule>
    <cfRule type="cellIs" priority="24" dxfId="1" operator="greaterThan" stopIfTrue="1">
      <formula>1</formula>
    </cfRule>
  </conditionalFormatting>
  <conditionalFormatting sqref="F58:N62">
    <cfRule type="cellIs" priority="17" dxfId="0" operator="lessThan" stopIfTrue="1">
      <formula>1</formula>
    </cfRule>
    <cfRule type="cellIs" priority="18" dxfId="1" operator="greaterThan" stopIfTrue="1">
      <formula>1</formula>
    </cfRule>
    <cfRule type="cellIs" priority="19" dxfId="0" operator="lessThan" stopIfTrue="1">
      <formula>1</formula>
    </cfRule>
    <cfRule type="cellIs" priority="20" dxfId="1" operator="greaterThan" stopIfTrue="1">
      <formula>1</formula>
    </cfRule>
  </conditionalFormatting>
  <conditionalFormatting sqref="R58:Z62">
    <cfRule type="cellIs" priority="13" dxfId="0" operator="lessThan" stopIfTrue="1">
      <formula>1</formula>
    </cfRule>
    <cfRule type="cellIs" priority="14" dxfId="1" operator="greaterThan" stopIfTrue="1">
      <formula>1</formula>
    </cfRule>
    <cfRule type="cellIs" priority="15" dxfId="0" operator="lessThan" stopIfTrue="1">
      <formula>1</formula>
    </cfRule>
    <cfRule type="cellIs" priority="16" dxfId="1" operator="greaterThan" stopIfTrue="1">
      <formula>1</formula>
    </cfRule>
  </conditionalFormatting>
  <conditionalFormatting sqref="F97:N101">
    <cfRule type="cellIs" priority="9" dxfId="0" operator="lessThan" stopIfTrue="1">
      <formula>1</formula>
    </cfRule>
    <cfRule type="cellIs" priority="10" dxfId="1" operator="greaterThan" stopIfTrue="1">
      <formula>1</formula>
    </cfRule>
    <cfRule type="cellIs" priority="11" dxfId="0" operator="lessThan" stopIfTrue="1">
      <formula>1</formula>
    </cfRule>
    <cfRule type="cellIs" priority="12" dxfId="1" operator="greaterThan" stopIfTrue="1">
      <formula>1</formula>
    </cfRule>
  </conditionalFormatting>
  <conditionalFormatting sqref="R97:Z101">
    <cfRule type="cellIs" priority="1" dxfId="0" operator="lessThan" stopIfTrue="1">
      <formula>1</formula>
    </cfRule>
    <cfRule type="cellIs" priority="2" dxfId="1" operator="greaterThan" stopIfTrue="1">
      <formula>1</formula>
    </cfRule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dataValidations count="7">
    <dataValidation type="list" allowBlank="1" showInputMessage="1" showErrorMessage="1" sqref="B98">
      <formula1>Sorgopbrengspeil</formula1>
    </dataValidation>
    <dataValidation type="list" allowBlank="1" showInputMessage="1" showErrorMessage="1" sqref="B85">
      <formula1>Sojaopbrengspeil</formula1>
    </dataValidation>
    <dataValidation type="list" allowBlank="1" showInputMessage="1" showErrorMessage="1" sqref="B72">
      <formula1>Sonopbrengspeil</formula1>
    </dataValidation>
    <dataValidation type="list" allowBlank="1" showInputMessage="1" showErrorMessage="1" sqref="B59">
      <formula1>Verminopbrengspeil</formula1>
    </dataValidation>
    <dataValidation type="list" allowBlank="1" showInputMessage="1" showErrorMessage="1" sqref="B46">
      <formula1>BTopbrengspeil</formula1>
    </dataValidation>
    <dataValidation type="list" allowBlank="1" showInputMessage="1" showErrorMessage="1" sqref="B33">
      <formula1>RRHpbrengspeil</formula1>
    </dataValidation>
    <dataValidation type="list" allowBlank="1" showInputMessage="1" showErrorMessage="1" sqref="B20">
      <formula1>RRLopbrengspeil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12" width="12.7109375" style="2" customWidth="1"/>
    <col min="13" max="15" width="12.7109375" style="2" hidden="1" customWidth="1"/>
    <col min="16" max="26" width="12.7109375" style="2" customWidth="1"/>
    <col min="27" max="16384" width="9.140625" style="2" customWidth="1"/>
  </cols>
  <sheetData>
    <row r="1" spans="1:10" s="4" customFormat="1" ht="29.25" customHeight="1" thickBot="1">
      <c r="A1" s="276" t="s">
        <v>20</v>
      </c>
      <c r="B1" s="277"/>
      <c r="C1" s="277"/>
      <c r="D1" s="277"/>
      <c r="E1" s="278" t="s">
        <v>21</v>
      </c>
      <c r="F1" s="278"/>
      <c r="G1" s="278"/>
      <c r="H1" s="3"/>
      <c r="I1" s="18"/>
      <c r="J1" s="17"/>
    </row>
    <row r="2" spans="1:10" ht="16.5" thickBot="1">
      <c r="A2" s="19"/>
      <c r="B2" s="20"/>
      <c r="C2" s="21"/>
      <c r="D2" s="21"/>
      <c r="E2" s="13"/>
      <c r="F2" s="13"/>
      <c r="G2" s="13"/>
      <c r="H2" s="13"/>
      <c r="I2" s="6"/>
      <c r="J2" s="4"/>
    </row>
    <row r="3" spans="1:11" ht="27.75" customHeight="1" thickBot="1">
      <c r="A3" s="287" t="s">
        <v>24</v>
      </c>
      <c r="B3" s="279"/>
      <c r="C3" s="279"/>
      <c r="D3" s="64"/>
      <c r="E3" s="77">
        <f>'Pryse + Sensatiwiteitsanali'!B102</f>
        <v>3437</v>
      </c>
      <c r="F3" s="64" t="s">
        <v>3</v>
      </c>
      <c r="G3" s="22"/>
      <c r="H3" s="22"/>
      <c r="I3" s="7"/>
      <c r="K3" s="4"/>
    </row>
    <row r="4" spans="1:11" ht="13.5" thickBot="1">
      <c r="A4" s="115"/>
      <c r="B4" s="128"/>
      <c r="C4" s="128"/>
      <c r="D4" s="8"/>
      <c r="E4" s="12"/>
      <c r="F4" s="23"/>
      <c r="G4" s="9"/>
      <c r="H4" s="24"/>
      <c r="I4" s="24"/>
      <c r="J4" s="4"/>
      <c r="K4" s="17"/>
    </row>
    <row r="5" spans="1:11" ht="13.5" thickBot="1">
      <c r="A5" s="115" t="s">
        <v>25</v>
      </c>
      <c r="B5" s="128"/>
      <c r="C5" s="128"/>
      <c r="D5" s="90">
        <v>2</v>
      </c>
      <c r="E5" s="90">
        <v>2.5</v>
      </c>
      <c r="F5" s="90">
        <v>3</v>
      </c>
      <c r="G5" s="90">
        <v>3.5</v>
      </c>
      <c r="H5" s="90">
        <v>4</v>
      </c>
      <c r="I5" s="25"/>
      <c r="J5" s="4"/>
      <c r="K5" s="17"/>
    </row>
    <row r="6" spans="1:11" ht="13.5" thickBot="1">
      <c r="A6" s="116" t="s">
        <v>26</v>
      </c>
      <c r="B6" s="129"/>
      <c r="C6" s="130"/>
      <c r="D6" s="73">
        <f aca="true" t="shared" si="0" ref="D6:I6">$E$3*D5</f>
        <v>6874</v>
      </c>
      <c r="E6" s="73">
        <f t="shared" si="0"/>
        <v>8592.5</v>
      </c>
      <c r="F6" s="73">
        <f t="shared" si="0"/>
        <v>10311</v>
      </c>
      <c r="G6" s="73">
        <f t="shared" si="0"/>
        <v>12029.5</v>
      </c>
      <c r="H6" s="73">
        <f t="shared" si="0"/>
        <v>13748</v>
      </c>
      <c r="I6" s="73">
        <f t="shared" si="0"/>
        <v>0</v>
      </c>
      <c r="J6" s="4"/>
      <c r="K6" s="17"/>
    </row>
    <row r="7" spans="1:15" ht="15.75" thickBot="1">
      <c r="A7" s="118"/>
      <c r="B7" s="119"/>
      <c r="C7" s="119"/>
      <c r="D7" s="91"/>
      <c r="E7" s="26"/>
      <c r="F7" s="26"/>
      <c r="G7" s="26"/>
      <c r="H7" s="26"/>
      <c r="I7" s="26"/>
      <c r="J7" s="4"/>
      <c r="K7" s="17"/>
      <c r="M7" s="266" t="s">
        <v>129</v>
      </c>
      <c r="N7" s="266"/>
      <c r="O7" s="266"/>
    </row>
    <row r="8" spans="1:15" ht="15.75" thickBot="1">
      <c r="A8" s="257" t="s">
        <v>27</v>
      </c>
      <c r="B8" s="258"/>
      <c r="C8" s="259"/>
      <c r="D8" s="92"/>
      <c r="E8" s="27"/>
      <c r="F8" s="27"/>
      <c r="G8" s="27"/>
      <c r="H8" s="27"/>
      <c r="I8" s="27"/>
      <c r="J8" s="4"/>
      <c r="K8" s="17"/>
      <c r="M8" s="238" t="s">
        <v>120</v>
      </c>
      <c r="N8" s="238" t="s">
        <v>121</v>
      </c>
      <c r="O8" s="238" t="s">
        <v>122</v>
      </c>
    </row>
    <row r="9" spans="1:15" ht="15">
      <c r="A9" s="120" t="s">
        <v>28</v>
      </c>
      <c r="B9" s="121"/>
      <c r="C9" s="121"/>
      <c r="D9" s="65">
        <v>291.2</v>
      </c>
      <c r="E9" s="65">
        <v>327.59999999999997</v>
      </c>
      <c r="F9" s="65">
        <v>364</v>
      </c>
      <c r="G9" s="65">
        <v>364</v>
      </c>
      <c r="H9" s="65">
        <v>400.4</v>
      </c>
      <c r="I9" s="65"/>
      <c r="J9" s="4"/>
      <c r="K9" s="17"/>
      <c r="M9" s="239">
        <f>D5</f>
        <v>2</v>
      </c>
      <c r="N9" s="239">
        <f>D25</f>
        <v>6021.7626935081535</v>
      </c>
      <c r="O9" s="239">
        <f>D27</f>
        <v>2205.243</v>
      </c>
    </row>
    <row r="10" spans="1:15" ht="15">
      <c r="A10" s="117" t="s">
        <v>29</v>
      </c>
      <c r="B10" s="122"/>
      <c r="C10" s="122"/>
      <c r="D10" s="66">
        <v>1499</v>
      </c>
      <c r="E10" s="66">
        <v>1873.7499999999998</v>
      </c>
      <c r="F10" s="66">
        <v>2248.5</v>
      </c>
      <c r="G10" s="66">
        <v>2623.2499999999995</v>
      </c>
      <c r="H10" s="66">
        <v>2998</v>
      </c>
      <c r="I10" s="66"/>
      <c r="J10" s="4"/>
      <c r="K10" s="17"/>
      <c r="M10" s="239">
        <f>E5</f>
        <v>2.5</v>
      </c>
      <c r="N10" s="239">
        <f>E25</f>
        <v>6480.154464276593</v>
      </c>
      <c r="O10" s="239">
        <f>E27</f>
        <v>2205.243</v>
      </c>
    </row>
    <row r="11" spans="1:15" ht="15">
      <c r="A11" s="117" t="s">
        <v>30</v>
      </c>
      <c r="B11" s="122"/>
      <c r="C11" s="122"/>
      <c r="D11" s="66">
        <v>530</v>
      </c>
      <c r="E11" s="66">
        <v>530</v>
      </c>
      <c r="F11" s="66">
        <v>530</v>
      </c>
      <c r="G11" s="66">
        <v>530</v>
      </c>
      <c r="H11" s="66">
        <v>530</v>
      </c>
      <c r="I11" s="66"/>
      <c r="J11" s="4"/>
      <c r="K11" s="17"/>
      <c r="M11" s="239">
        <f>F5</f>
        <v>3</v>
      </c>
      <c r="N11" s="239">
        <f>F25</f>
        <v>7201.520761566781</v>
      </c>
      <c r="O11" s="239">
        <f>F27</f>
        <v>2205.243</v>
      </c>
    </row>
    <row r="12" spans="1:15" ht="15">
      <c r="A12" s="117" t="s">
        <v>31</v>
      </c>
      <c r="B12" s="122"/>
      <c r="C12" s="122"/>
      <c r="D12" s="66">
        <v>1011.669056</v>
      </c>
      <c r="E12" s="66">
        <v>910.5306559999999</v>
      </c>
      <c r="F12" s="66">
        <v>1045.509556</v>
      </c>
      <c r="G12" s="66">
        <v>1062.4298059999999</v>
      </c>
      <c r="H12" s="66">
        <v>1079.350056</v>
      </c>
      <c r="I12" s="66"/>
      <c r="J12" s="4"/>
      <c r="K12" s="17"/>
      <c r="M12" s="239">
        <f>G5</f>
        <v>3.5</v>
      </c>
      <c r="N12" s="239">
        <f>G25</f>
        <v>7750.859467693854</v>
      </c>
      <c r="O12" s="239">
        <f>G27</f>
        <v>2205.243</v>
      </c>
    </row>
    <row r="13" spans="1:15" ht="15">
      <c r="A13" s="117" t="s">
        <v>32</v>
      </c>
      <c r="B13" s="122"/>
      <c r="C13" s="122"/>
      <c r="D13" s="66">
        <v>707.9603</v>
      </c>
      <c r="E13" s="66">
        <v>711.0253</v>
      </c>
      <c r="F13" s="66">
        <v>714.0903000000001</v>
      </c>
      <c r="G13" s="66">
        <v>717.1553</v>
      </c>
      <c r="H13" s="66">
        <v>720.2203000000001</v>
      </c>
      <c r="I13" s="66"/>
      <c r="J13" s="4"/>
      <c r="K13" s="17"/>
      <c r="M13" s="239">
        <f>H5</f>
        <v>4</v>
      </c>
      <c r="N13" s="239">
        <f>H25</f>
        <v>8340.738501723168</v>
      </c>
      <c r="O13" s="239">
        <f>H27</f>
        <v>2205.243</v>
      </c>
    </row>
    <row r="14" spans="1:15" ht="15">
      <c r="A14" s="117" t="s">
        <v>33</v>
      </c>
      <c r="B14" s="122"/>
      <c r="C14" s="122"/>
      <c r="D14" s="66">
        <v>502.90000000000003</v>
      </c>
      <c r="E14" s="66">
        <v>502.90000000000003</v>
      </c>
      <c r="F14" s="66">
        <v>502.90000000000003</v>
      </c>
      <c r="G14" s="66">
        <v>502.90000000000003</v>
      </c>
      <c r="H14" s="66">
        <v>502.90000000000003</v>
      </c>
      <c r="I14" s="66"/>
      <c r="J14" s="4"/>
      <c r="K14" s="17"/>
      <c r="M14" s="239">
        <f>I5</f>
        <v>0</v>
      </c>
      <c r="N14" s="239">
        <f>I25</f>
        <v>0</v>
      </c>
      <c r="O14" s="239">
        <f>I27</f>
        <v>0</v>
      </c>
    </row>
    <row r="15" spans="1:11" ht="12.75">
      <c r="A15" s="117" t="s">
        <v>34</v>
      </c>
      <c r="B15" s="122"/>
      <c r="C15" s="122"/>
      <c r="D15" s="66">
        <v>470.038</v>
      </c>
      <c r="E15" s="66">
        <v>470.038</v>
      </c>
      <c r="F15" s="66">
        <v>470.038</v>
      </c>
      <c r="G15" s="66">
        <v>470.038</v>
      </c>
      <c r="H15" s="66">
        <v>470.038</v>
      </c>
      <c r="I15" s="66"/>
      <c r="J15" s="4"/>
      <c r="K15" s="17"/>
    </row>
    <row r="16" spans="1:11" ht="12.75">
      <c r="A16" s="117" t="s">
        <v>35</v>
      </c>
      <c r="B16" s="122"/>
      <c r="C16" s="122"/>
      <c r="D16" s="66">
        <v>134.043</v>
      </c>
      <c r="E16" s="66">
        <v>167.55375</v>
      </c>
      <c r="F16" s="66">
        <v>201.06449999999998</v>
      </c>
      <c r="G16" s="66">
        <v>234.57525000000004</v>
      </c>
      <c r="H16" s="66">
        <v>268.086</v>
      </c>
      <c r="I16" s="66"/>
      <c r="J16" s="4"/>
      <c r="K16" s="17"/>
    </row>
    <row r="17" spans="1:11" ht="12.75">
      <c r="A17" s="117" t="s">
        <v>36</v>
      </c>
      <c r="B17" s="122"/>
      <c r="C17" s="122"/>
      <c r="D17" s="66">
        <v>314.62137654931627</v>
      </c>
      <c r="E17" s="66">
        <v>338.5711496072156</v>
      </c>
      <c r="F17" s="66">
        <v>376.26065498981666</v>
      </c>
      <c r="G17" s="66">
        <v>404.9621679371545</v>
      </c>
      <c r="H17" s="66">
        <v>435.7818071574047</v>
      </c>
      <c r="I17" s="66"/>
      <c r="J17" s="4"/>
      <c r="K17" s="17"/>
    </row>
    <row r="18" spans="1:11" ht="12.75">
      <c r="A18" s="117" t="s">
        <v>37</v>
      </c>
      <c r="B18" s="122"/>
      <c r="C18" s="122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/>
      <c r="J18" s="4"/>
      <c r="K18" s="17"/>
    </row>
    <row r="19" spans="1:11" ht="12.75">
      <c r="A19" s="117" t="s">
        <v>38</v>
      </c>
      <c r="B19" s="122"/>
      <c r="C19" s="122"/>
      <c r="D19" s="66">
        <v>259.95799999999997</v>
      </c>
      <c r="E19" s="66">
        <v>324.9475</v>
      </c>
      <c r="F19" s="66">
        <v>389.937</v>
      </c>
      <c r="G19" s="66">
        <v>454.9265</v>
      </c>
      <c r="H19" s="66">
        <v>519.9159999999999</v>
      </c>
      <c r="I19" s="66"/>
      <c r="J19" s="4"/>
      <c r="K19" s="17"/>
    </row>
    <row r="20" spans="1:11" ht="12.75">
      <c r="A20" s="117" t="s">
        <v>39</v>
      </c>
      <c r="B20" s="122"/>
      <c r="C20" s="122"/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/>
      <c r="J20" s="4"/>
      <c r="K20" s="17"/>
    </row>
    <row r="21" spans="1:11" ht="12.75">
      <c r="A21" s="117" t="s">
        <v>40</v>
      </c>
      <c r="B21" s="122"/>
      <c r="C21" s="122"/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/>
      <c r="J21" s="4"/>
      <c r="K21" s="17"/>
    </row>
    <row r="22" spans="1:11" ht="12.75">
      <c r="A22" s="117" t="s">
        <v>41</v>
      </c>
      <c r="B22" s="122"/>
      <c r="C22" s="122"/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/>
      <c r="J22" s="4"/>
      <c r="K22" s="17"/>
    </row>
    <row r="23" spans="1:11" ht="12.75">
      <c r="A23" s="117" t="s">
        <v>42</v>
      </c>
      <c r="B23" s="122"/>
      <c r="C23" s="122"/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/>
      <c r="J23" s="4"/>
      <c r="K23" s="17"/>
    </row>
    <row r="24" spans="1:11" ht="13.5" thickBot="1">
      <c r="A24" s="117" t="s">
        <v>43</v>
      </c>
      <c r="B24" s="122"/>
      <c r="C24" s="122"/>
      <c r="D24" s="66">
        <v>300.3729609588391</v>
      </c>
      <c r="E24" s="66">
        <v>323.23810866937873</v>
      </c>
      <c r="F24" s="66">
        <v>359.2207505769654</v>
      </c>
      <c r="G24" s="66">
        <v>386.62244375670053</v>
      </c>
      <c r="H24" s="66">
        <v>416.04633856576373</v>
      </c>
      <c r="I24" s="66"/>
      <c r="J24" s="4"/>
      <c r="K24" s="17"/>
    </row>
    <row r="25" spans="1:11" ht="29.25" customHeight="1" thickBot="1">
      <c r="A25" s="260" t="s">
        <v>44</v>
      </c>
      <c r="B25" s="261"/>
      <c r="C25" s="262"/>
      <c r="D25" s="67">
        <f>SUM(D9:D24)</f>
        <v>6021.7626935081535</v>
      </c>
      <c r="E25" s="67">
        <f>SUM(E9:E24)</f>
        <v>6480.154464276593</v>
      </c>
      <c r="F25" s="67">
        <f>SUM(F9:F24)</f>
        <v>7201.520761566781</v>
      </c>
      <c r="G25" s="67">
        <f>SUM(G9:G24)</f>
        <v>7750.859467693854</v>
      </c>
      <c r="H25" s="67">
        <f>SUM(H9:H24)</f>
        <v>8340.738501723168</v>
      </c>
      <c r="I25" s="10"/>
      <c r="J25" s="4"/>
      <c r="K25" s="17"/>
    </row>
    <row r="26" spans="1:11" ht="13.5" thickBot="1">
      <c r="A26" s="123"/>
      <c r="B26" s="124"/>
      <c r="C26" s="124"/>
      <c r="D26" s="68"/>
      <c r="E26" s="28"/>
      <c r="F26" s="28"/>
      <c r="G26" s="28"/>
      <c r="H26" s="28"/>
      <c r="I26" s="28"/>
      <c r="J26" s="4"/>
      <c r="K26" s="17"/>
    </row>
    <row r="27" spans="1:11" ht="13.5" thickBot="1">
      <c r="A27" s="263" t="s">
        <v>45</v>
      </c>
      <c r="B27" s="264"/>
      <c r="C27" s="265"/>
      <c r="D27" s="67">
        <v>2205.243</v>
      </c>
      <c r="E27" s="67">
        <v>2205.243</v>
      </c>
      <c r="F27" s="67">
        <v>2205.243</v>
      </c>
      <c r="G27" s="67">
        <v>2205.243</v>
      </c>
      <c r="H27" s="67">
        <v>2205.243</v>
      </c>
      <c r="I27" s="31"/>
      <c r="J27" s="30"/>
      <c r="K27" s="17"/>
    </row>
    <row r="28" spans="1:11" ht="13.5" thickBot="1">
      <c r="A28" s="123"/>
      <c r="B28" s="124"/>
      <c r="C28" s="124"/>
      <c r="D28" s="68"/>
      <c r="E28" s="28"/>
      <c r="F28" s="28"/>
      <c r="G28" s="28"/>
      <c r="H28" s="28"/>
      <c r="I28" s="28"/>
      <c r="J28" s="4"/>
      <c r="K28" s="17"/>
    </row>
    <row r="29" spans="1:11" ht="25.5" customHeight="1" thickBot="1">
      <c r="A29" s="260" t="s">
        <v>46</v>
      </c>
      <c r="B29" s="261"/>
      <c r="C29" s="262"/>
      <c r="D29" s="67">
        <f>D25+D27</f>
        <v>8227.005693508154</v>
      </c>
      <c r="E29" s="67">
        <f>E25+E27</f>
        <v>8685.397464276593</v>
      </c>
      <c r="F29" s="67">
        <f>F25+F27</f>
        <v>9406.76376156678</v>
      </c>
      <c r="G29" s="67">
        <f>G25+G27</f>
        <v>9956.102467693854</v>
      </c>
      <c r="H29" s="67">
        <f>H25+H27</f>
        <v>10545.981501723169</v>
      </c>
      <c r="I29" s="67"/>
      <c r="J29" s="4"/>
      <c r="K29" s="4"/>
    </row>
    <row r="30" spans="1:11" ht="12" customHeight="1" thickBot="1">
      <c r="A30" s="118"/>
      <c r="B30" s="119"/>
      <c r="C30" s="119"/>
      <c r="D30" s="70"/>
      <c r="E30" s="70"/>
      <c r="F30" s="70"/>
      <c r="G30" s="70"/>
      <c r="H30" s="70"/>
      <c r="I30" s="70"/>
      <c r="J30" s="4"/>
      <c r="K30" s="4"/>
    </row>
    <row r="31" spans="1:11" ht="24.75" customHeight="1" thickBot="1">
      <c r="A31" s="260" t="s">
        <v>47</v>
      </c>
      <c r="B31" s="279"/>
      <c r="C31" s="280"/>
      <c r="D31" s="67">
        <f>D29/D5</f>
        <v>4113.502846754077</v>
      </c>
      <c r="E31" s="67">
        <f>E29/E5</f>
        <v>3474.1589857106374</v>
      </c>
      <c r="F31" s="67">
        <f>F29/F5</f>
        <v>3135.5879205222604</v>
      </c>
      <c r="G31" s="67">
        <f>G29/G5</f>
        <v>2844.6007050553867</v>
      </c>
      <c r="H31" s="67">
        <f>H29/H5</f>
        <v>2636.495375430792</v>
      </c>
      <c r="I31" s="67"/>
      <c r="J31" s="4"/>
      <c r="K31" s="4"/>
    </row>
    <row r="32" spans="1:11" ht="13.5" thickBot="1">
      <c r="A32" s="118"/>
      <c r="B32" s="119"/>
      <c r="C32" s="119"/>
      <c r="D32" s="70"/>
      <c r="E32" s="14"/>
      <c r="F32" s="14"/>
      <c r="G32" s="14"/>
      <c r="H32" s="14"/>
      <c r="I32" s="14"/>
      <c r="J32" s="4"/>
      <c r="K32" s="17"/>
    </row>
    <row r="33" spans="1:11" ht="14.25" customHeight="1" thickBot="1">
      <c r="A33" s="116" t="s">
        <v>48</v>
      </c>
      <c r="B33" s="129"/>
      <c r="C33" s="129"/>
      <c r="D33" s="67">
        <f>'Pryse + Sensatiwiteitsanali'!D7</f>
        <v>63</v>
      </c>
      <c r="E33" s="67">
        <f>$D$33</f>
        <v>63</v>
      </c>
      <c r="F33" s="67">
        <f>$D$33</f>
        <v>63</v>
      </c>
      <c r="G33" s="67">
        <f>$D$33</f>
        <v>63</v>
      </c>
      <c r="H33" s="67">
        <f>$D$33</f>
        <v>63</v>
      </c>
      <c r="I33" s="67"/>
      <c r="J33" s="4"/>
      <c r="K33" s="17"/>
    </row>
    <row r="34" spans="1:11" ht="13.5" thickBot="1">
      <c r="A34" s="118"/>
      <c r="B34" s="119"/>
      <c r="C34" s="119"/>
      <c r="D34" s="70"/>
      <c r="E34" s="70"/>
      <c r="F34" s="70"/>
      <c r="G34" s="70"/>
      <c r="H34" s="70"/>
      <c r="I34" s="70"/>
      <c r="J34" s="4"/>
      <c r="K34" s="17"/>
    </row>
    <row r="35" spans="1:11" ht="24.75" customHeight="1" thickBot="1">
      <c r="A35" s="287" t="s">
        <v>49</v>
      </c>
      <c r="B35" s="279"/>
      <c r="C35" s="280"/>
      <c r="D35" s="69">
        <f>D31+D33</f>
        <v>4176.502846754077</v>
      </c>
      <c r="E35" s="69">
        <f>E31+E33</f>
        <v>3537.1589857106374</v>
      </c>
      <c r="F35" s="69">
        <f>F31+F33</f>
        <v>3198.5879205222604</v>
      </c>
      <c r="G35" s="69">
        <f>G31+G33</f>
        <v>2907.6007050553867</v>
      </c>
      <c r="H35" s="69">
        <f>H31+H33</f>
        <v>2699.495375430792</v>
      </c>
      <c r="I35" s="69"/>
      <c r="J35" s="4"/>
      <c r="K35" s="17"/>
    </row>
    <row r="36" spans="1:11" ht="13.5" thickBot="1">
      <c r="A36" s="125" t="s">
        <v>50</v>
      </c>
      <c r="B36" s="126"/>
      <c r="C36" s="127"/>
      <c r="D36" s="69">
        <f>'Pryse + Sensatiwiteitsanali'!B7</f>
        <v>3500</v>
      </c>
      <c r="E36" s="69">
        <f>$D$36</f>
        <v>3500</v>
      </c>
      <c r="F36" s="69">
        <f>$D$36</f>
        <v>3500</v>
      </c>
      <c r="G36" s="69">
        <f>$D$36</f>
        <v>3500</v>
      </c>
      <c r="H36" s="69">
        <f>$D$36</f>
        <v>3500</v>
      </c>
      <c r="I36" s="29"/>
      <c r="J36" s="17"/>
      <c r="K36" s="4"/>
    </row>
    <row r="37" spans="4:10" ht="12.75">
      <c r="D37" s="63"/>
      <c r="I37" s="4"/>
      <c r="J37" s="4"/>
    </row>
    <row r="38" spans="1:10" ht="13.5" thickBot="1">
      <c r="A38" s="4"/>
      <c r="B38" s="32"/>
      <c r="C38" s="4"/>
      <c r="D38" s="4"/>
      <c r="E38" s="4"/>
      <c r="F38" s="4"/>
      <c r="G38" s="4"/>
      <c r="H38" s="4"/>
      <c r="I38" s="17"/>
      <c r="J38" s="4"/>
    </row>
    <row r="39" spans="1:10" ht="12.75">
      <c r="A39" s="1" t="s">
        <v>7</v>
      </c>
      <c r="B39" s="33"/>
      <c r="C39" s="34"/>
      <c r="D39" s="34"/>
      <c r="E39" s="34"/>
      <c r="F39" s="34"/>
      <c r="G39" s="34"/>
      <c r="H39" s="35"/>
      <c r="I39" s="17"/>
      <c r="J39" s="4"/>
    </row>
    <row r="40" spans="1:10" ht="12.75">
      <c r="A40" s="36" t="s">
        <v>1</v>
      </c>
      <c r="B40" s="37"/>
      <c r="C40" s="38"/>
      <c r="D40" s="39"/>
      <c r="E40" s="39"/>
      <c r="F40" s="39"/>
      <c r="G40" s="39"/>
      <c r="H40" s="40"/>
      <c r="I40" s="17"/>
      <c r="J40" s="4"/>
    </row>
    <row r="41" spans="1:16" ht="13.5" thickBot="1">
      <c r="A41" s="41" t="s">
        <v>0</v>
      </c>
      <c r="B41" s="42"/>
      <c r="C41" s="43"/>
      <c r="D41" s="43"/>
      <c r="E41" s="43"/>
      <c r="F41" s="43"/>
      <c r="G41" s="44"/>
      <c r="H41" s="45"/>
      <c r="I41" s="17"/>
      <c r="J41" s="4"/>
      <c r="P41" s="71"/>
    </row>
    <row r="42" spans="1:10" ht="13.5" thickBot="1">
      <c r="A42" s="46"/>
      <c r="B42" s="11"/>
      <c r="C42" s="47" t="s">
        <v>2</v>
      </c>
      <c r="D42" s="48"/>
      <c r="E42" s="48"/>
      <c r="F42" s="48"/>
      <c r="G42" s="49"/>
      <c r="H42" s="50"/>
      <c r="I42" s="17"/>
      <c r="J42" s="4"/>
    </row>
    <row r="43" spans="1:10" ht="13.5" thickBot="1">
      <c r="A43" s="5"/>
      <c r="B43" s="32"/>
      <c r="C43" s="4"/>
      <c r="D43" s="4"/>
      <c r="E43" s="4"/>
      <c r="F43" s="4"/>
      <c r="G43" s="4"/>
      <c r="H43" s="51"/>
      <c r="I43" s="17"/>
      <c r="J43" s="4"/>
    </row>
    <row r="44" spans="1:10" ht="13.5" thickBot="1">
      <c r="A44" s="5"/>
      <c r="B44" s="52"/>
      <c r="C44" s="53">
        <v>3237</v>
      </c>
      <c r="D44" s="53">
        <v>3337</v>
      </c>
      <c r="E44" s="54">
        <v>3437</v>
      </c>
      <c r="F44" s="53">
        <v>3537</v>
      </c>
      <c r="G44" s="55">
        <v>3637</v>
      </c>
      <c r="H44" s="51"/>
      <c r="I44" s="17"/>
      <c r="J44" s="4"/>
    </row>
    <row r="45" spans="1:10" ht="12.75">
      <c r="A45" s="5"/>
      <c r="B45" s="89">
        <v>2</v>
      </c>
      <c r="C45" s="79">
        <v>-1753.0056935081539</v>
      </c>
      <c r="D45" s="80">
        <v>-1553.0056935081539</v>
      </c>
      <c r="E45" s="80">
        <v>-1353.0056935081539</v>
      </c>
      <c r="F45" s="80">
        <v>-1153.0056935081539</v>
      </c>
      <c r="G45" s="81">
        <v>-953.0056935081539</v>
      </c>
      <c r="H45" s="51"/>
      <c r="I45" s="17"/>
      <c r="J45" s="4"/>
    </row>
    <row r="46" spans="1:10" ht="12.75">
      <c r="A46" s="5"/>
      <c r="B46" s="78"/>
      <c r="C46" s="82"/>
      <c r="D46" s="75"/>
      <c r="E46" s="75"/>
      <c r="F46" s="75"/>
      <c r="G46" s="76"/>
      <c r="H46" s="51"/>
      <c r="I46" s="17"/>
      <c r="J46" s="4"/>
    </row>
    <row r="47" spans="1:10" ht="12.75">
      <c r="A47" s="5"/>
      <c r="B47" s="78">
        <v>2.5</v>
      </c>
      <c r="C47" s="82">
        <v>-592.8974642765934</v>
      </c>
      <c r="D47" s="75">
        <v>-342.8974642765934</v>
      </c>
      <c r="E47" s="75">
        <v>-92.89746427659338</v>
      </c>
      <c r="F47" s="75">
        <v>157.10253572340662</v>
      </c>
      <c r="G47" s="76">
        <v>407.1025357234066</v>
      </c>
      <c r="H47" s="51"/>
      <c r="I47" s="17"/>
      <c r="J47" s="4"/>
    </row>
    <row r="48" spans="1:10" ht="13.5" thickBot="1">
      <c r="A48" s="58"/>
      <c r="B48" s="78"/>
      <c r="C48" s="82"/>
      <c r="D48" s="75"/>
      <c r="E48" s="75"/>
      <c r="F48" s="75"/>
      <c r="G48" s="76"/>
      <c r="H48" s="51"/>
      <c r="I48" s="17"/>
      <c r="J48" s="4"/>
    </row>
    <row r="49" spans="1:10" ht="13.5" thickBot="1">
      <c r="A49" s="59" t="s">
        <v>4</v>
      </c>
      <c r="B49" s="83">
        <v>3</v>
      </c>
      <c r="C49" s="82">
        <v>304.2362384332191</v>
      </c>
      <c r="D49" s="75">
        <v>604.2362384332191</v>
      </c>
      <c r="E49" s="84">
        <v>904.2362384332191</v>
      </c>
      <c r="F49" s="75">
        <v>1204.2362384332191</v>
      </c>
      <c r="G49" s="76">
        <v>1504.2362384332191</v>
      </c>
      <c r="H49" s="51"/>
      <c r="I49" s="17"/>
      <c r="J49" s="4"/>
    </row>
    <row r="50" spans="1:10" ht="12.75">
      <c r="A50" s="5"/>
      <c r="B50" s="78"/>
      <c r="C50" s="82"/>
      <c r="D50" s="75"/>
      <c r="E50" s="75"/>
      <c r="F50" s="75"/>
      <c r="G50" s="76"/>
      <c r="H50" s="51"/>
      <c r="I50" s="17"/>
      <c r="J50" s="4"/>
    </row>
    <row r="51" spans="1:10" ht="12.75">
      <c r="A51" s="5"/>
      <c r="B51" s="78">
        <v>3.5</v>
      </c>
      <c r="C51" s="82">
        <v>1373.3975323061459</v>
      </c>
      <c r="D51" s="75">
        <v>1723.3975323061459</v>
      </c>
      <c r="E51" s="75">
        <v>2073.397532306146</v>
      </c>
      <c r="F51" s="75">
        <v>2423.397532306146</v>
      </c>
      <c r="G51" s="76">
        <v>2773.397532306146</v>
      </c>
      <c r="H51" s="51"/>
      <c r="I51" s="17"/>
      <c r="J51" s="4"/>
    </row>
    <row r="52" spans="1:10" ht="12.75">
      <c r="A52" s="5"/>
      <c r="B52" s="78"/>
      <c r="C52" s="82"/>
      <c r="D52" s="75"/>
      <c r="E52" s="75"/>
      <c r="F52" s="75"/>
      <c r="G52" s="76"/>
      <c r="H52" s="51"/>
      <c r="I52" s="17"/>
      <c r="J52" s="4"/>
    </row>
    <row r="53" spans="1:10" ht="12.75">
      <c r="A53" s="5"/>
      <c r="B53" s="78">
        <v>4</v>
      </c>
      <c r="C53" s="82">
        <v>2402.0184982768315</v>
      </c>
      <c r="D53" s="75">
        <v>2802.0184982768315</v>
      </c>
      <c r="E53" s="75">
        <v>3202.0184982768315</v>
      </c>
      <c r="F53" s="75">
        <v>3602.0184982768315</v>
      </c>
      <c r="G53" s="76">
        <v>4002.0184982768315</v>
      </c>
      <c r="H53" s="51"/>
      <c r="I53" s="17"/>
      <c r="J53" s="4"/>
    </row>
    <row r="54" spans="1:10" ht="12.75">
      <c r="A54" s="5"/>
      <c r="B54" s="78"/>
      <c r="C54" s="82"/>
      <c r="D54" s="75"/>
      <c r="E54" s="75"/>
      <c r="F54" s="75"/>
      <c r="G54" s="76"/>
      <c r="H54" s="51"/>
      <c r="I54" s="17"/>
      <c r="J54" s="4"/>
    </row>
    <row r="55" spans="1:9" ht="13.5" thickBot="1">
      <c r="A55" s="5"/>
      <c r="B55" s="85">
        <v>0</v>
      </c>
      <c r="C55" s="86">
        <v>0</v>
      </c>
      <c r="D55" s="87">
        <v>0</v>
      </c>
      <c r="E55" s="87">
        <v>0</v>
      </c>
      <c r="F55" s="87">
        <v>0</v>
      </c>
      <c r="G55" s="88">
        <v>0</v>
      </c>
      <c r="H55" s="51"/>
      <c r="I55" s="17"/>
    </row>
    <row r="56" spans="1:8" ht="13.5" thickBot="1">
      <c r="A56" s="62"/>
      <c r="B56" s="13"/>
      <c r="C56" s="13"/>
      <c r="D56" s="13"/>
      <c r="E56" s="13"/>
      <c r="F56" s="13"/>
      <c r="G56" s="13"/>
      <c r="H56" s="6"/>
    </row>
    <row r="57" spans="1:10" ht="15">
      <c r="A57" s="132" t="s">
        <v>55</v>
      </c>
      <c r="B57" s="133"/>
      <c r="C57" s="133"/>
      <c r="D57" s="133"/>
      <c r="E57" s="133"/>
      <c r="F57" s="133"/>
      <c r="G57" s="133"/>
      <c r="H57" s="134"/>
      <c r="I57" s="131"/>
      <c r="J57" s="131"/>
    </row>
    <row r="58" spans="1:10" ht="15">
      <c r="A58" s="135" t="s">
        <v>56</v>
      </c>
      <c r="B58" s="136"/>
      <c r="C58" s="136"/>
      <c r="D58" s="136"/>
      <c r="E58" s="136"/>
      <c r="F58" s="136"/>
      <c r="G58" s="136"/>
      <c r="H58" s="137"/>
      <c r="I58" s="131"/>
      <c r="J58" s="131"/>
    </row>
    <row r="59" spans="1:10" ht="15.75" thickBot="1">
      <c r="A59" s="138" t="s">
        <v>57</v>
      </c>
      <c r="B59" s="139"/>
      <c r="C59" s="139"/>
      <c r="D59" s="139"/>
      <c r="E59" s="139"/>
      <c r="F59" s="139"/>
      <c r="G59" s="139"/>
      <c r="H59" s="140"/>
      <c r="I59" s="131"/>
      <c r="J59" s="131"/>
    </row>
  </sheetData>
  <sheetProtection/>
  <mergeCells count="10">
    <mergeCell ref="M7:O7"/>
    <mergeCell ref="A1:D1"/>
    <mergeCell ref="E1:G1"/>
    <mergeCell ref="A31:C31"/>
    <mergeCell ref="A35:C35"/>
    <mergeCell ref="A3:C3"/>
    <mergeCell ref="A8:C8"/>
    <mergeCell ref="A25:C25"/>
    <mergeCell ref="A27:C27"/>
    <mergeCell ref="A29:C29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85" zoomScaleNormal="85" zoomScalePageLayoutView="0" workbookViewId="0" topLeftCell="A1">
      <selection activeCell="B45" sqref="B45:G56"/>
    </sheetView>
  </sheetViews>
  <sheetFormatPr defaultColWidth="9.140625" defaultRowHeight="12.75"/>
  <cols>
    <col min="1" max="1" width="42.8515625" style="2" customWidth="1"/>
    <col min="2" max="2" width="15.7109375" style="2" bestFit="1" customWidth="1"/>
    <col min="3" max="4" width="14.421875" style="2" customWidth="1"/>
    <col min="5" max="5" width="16.28125" style="2" customWidth="1"/>
    <col min="6" max="9" width="14.28125" style="2" customWidth="1"/>
    <col min="10" max="10" width="14.421875" style="2" customWidth="1"/>
    <col min="11" max="11" width="12.7109375" style="2" customWidth="1"/>
    <col min="12" max="26" width="12.7109375" style="2" hidden="1" customWidth="1"/>
    <col min="27" max="27" width="0" style="2" hidden="1" customWidth="1"/>
    <col min="28" max="16384" width="9.140625" style="2" customWidth="1"/>
  </cols>
  <sheetData>
    <row r="1" spans="1:11" ht="32.25" customHeight="1" thickBot="1">
      <c r="A1" s="276" t="s">
        <v>62</v>
      </c>
      <c r="B1" s="277"/>
      <c r="C1" s="277"/>
      <c r="D1" s="277"/>
      <c r="E1" s="278" t="s">
        <v>21</v>
      </c>
      <c r="F1" s="278"/>
      <c r="G1" s="278"/>
      <c r="H1" s="3"/>
      <c r="I1" s="18"/>
      <c r="J1" s="17"/>
      <c r="K1" s="17"/>
    </row>
    <row r="2" spans="1:11" ht="16.5" thickBot="1">
      <c r="A2" s="19"/>
      <c r="B2" s="20"/>
      <c r="C2" s="21"/>
      <c r="D2" s="21"/>
      <c r="E2" s="13"/>
      <c r="F2" s="13"/>
      <c r="G2" s="13"/>
      <c r="H2" s="13"/>
      <c r="I2" s="6"/>
      <c r="J2" s="4"/>
      <c r="K2" s="17"/>
    </row>
    <row r="3" spans="1:11" ht="39.75" customHeight="1" thickBot="1">
      <c r="A3" s="287" t="s">
        <v>24</v>
      </c>
      <c r="B3" s="279"/>
      <c r="C3" s="279"/>
      <c r="D3" s="64"/>
      <c r="E3" s="77">
        <f>'Pryse + Sensatiwiteitsanali'!B24</f>
        <v>2439</v>
      </c>
      <c r="F3" s="64" t="s">
        <v>3</v>
      </c>
      <c r="G3" s="22"/>
      <c r="H3" s="22"/>
      <c r="I3" s="7"/>
      <c r="K3" s="17"/>
    </row>
    <row r="4" spans="1:11" ht="13.5" thickBot="1">
      <c r="A4" s="115"/>
      <c r="B4" s="128"/>
      <c r="C4" s="128"/>
      <c r="D4" s="8"/>
      <c r="E4" s="12"/>
      <c r="F4" s="23"/>
      <c r="G4" s="9"/>
      <c r="H4" s="24"/>
      <c r="I4" s="24"/>
      <c r="J4" s="4"/>
      <c r="K4" s="17"/>
    </row>
    <row r="5" spans="1:11" ht="13.5" thickBot="1">
      <c r="A5" s="115" t="s">
        <v>25</v>
      </c>
      <c r="B5" s="128"/>
      <c r="C5" s="128"/>
      <c r="D5" s="97">
        <v>8</v>
      </c>
      <c r="E5" s="97">
        <v>10</v>
      </c>
      <c r="F5" s="97">
        <v>12</v>
      </c>
      <c r="G5" s="97">
        <v>14</v>
      </c>
      <c r="H5" s="97">
        <v>16</v>
      </c>
      <c r="I5" s="97">
        <v>18</v>
      </c>
      <c r="J5" s="4"/>
      <c r="K5" s="17"/>
    </row>
    <row r="6" spans="1:11" ht="13.5" thickBot="1">
      <c r="A6" s="116" t="s">
        <v>26</v>
      </c>
      <c r="B6" s="129"/>
      <c r="C6" s="130"/>
      <c r="D6" s="73">
        <f aca="true" t="shared" si="0" ref="D6:I6">$E$3*D5</f>
        <v>19512</v>
      </c>
      <c r="E6" s="73">
        <f t="shared" si="0"/>
        <v>24390</v>
      </c>
      <c r="F6" s="73">
        <f t="shared" si="0"/>
        <v>29268</v>
      </c>
      <c r="G6" s="73">
        <f t="shared" si="0"/>
        <v>34146</v>
      </c>
      <c r="H6" s="73">
        <f t="shared" si="0"/>
        <v>39024</v>
      </c>
      <c r="I6" s="73">
        <f t="shared" si="0"/>
        <v>43902</v>
      </c>
      <c r="J6" s="4"/>
      <c r="K6" s="17"/>
    </row>
    <row r="7" spans="1:11" ht="13.5" thickBot="1">
      <c r="A7" s="118"/>
      <c r="B7" s="119"/>
      <c r="C7" s="119"/>
      <c r="D7" s="91"/>
      <c r="E7" s="91"/>
      <c r="F7" s="91"/>
      <c r="G7" s="91"/>
      <c r="H7" s="91"/>
      <c r="I7" s="91"/>
      <c r="J7" s="4"/>
      <c r="K7" s="17"/>
    </row>
    <row r="8" spans="1:11" ht="27.75" customHeight="1" thickBot="1">
      <c r="A8" s="257" t="s">
        <v>27</v>
      </c>
      <c r="B8" s="258"/>
      <c r="C8" s="259"/>
      <c r="D8" s="92"/>
      <c r="E8" s="92"/>
      <c r="F8" s="92"/>
      <c r="G8" s="92"/>
      <c r="H8" s="92"/>
      <c r="I8" s="92"/>
      <c r="J8" s="4"/>
      <c r="K8" s="17"/>
    </row>
    <row r="9" spans="1:11" ht="12.75">
      <c r="A9" s="120" t="s">
        <v>28</v>
      </c>
      <c r="B9" s="121"/>
      <c r="C9" s="121"/>
      <c r="D9" s="65">
        <v>2400.75</v>
      </c>
      <c r="E9" s="65">
        <v>2837.25</v>
      </c>
      <c r="F9" s="65">
        <v>3273.75</v>
      </c>
      <c r="G9" s="65">
        <v>3492</v>
      </c>
      <c r="H9" s="65">
        <v>3492</v>
      </c>
      <c r="I9" s="65">
        <v>3492</v>
      </c>
      <c r="J9" s="4"/>
      <c r="K9" s="17"/>
    </row>
    <row r="10" spans="1:11" ht="12.75">
      <c r="A10" s="117" t="s">
        <v>29</v>
      </c>
      <c r="B10" s="122"/>
      <c r="C10" s="122"/>
      <c r="D10" s="66">
        <v>4522.08</v>
      </c>
      <c r="E10" s="66">
        <v>5527.6</v>
      </c>
      <c r="F10" s="66">
        <v>6533.12</v>
      </c>
      <c r="G10" s="66">
        <v>7538.64</v>
      </c>
      <c r="H10" s="66">
        <v>8544.16</v>
      </c>
      <c r="I10" s="66">
        <v>9549.68</v>
      </c>
      <c r="J10" s="4"/>
      <c r="K10" s="17"/>
    </row>
    <row r="11" spans="1:11" ht="12.75">
      <c r="A11" s="117" t="s">
        <v>30</v>
      </c>
      <c r="B11" s="122"/>
      <c r="C11" s="122"/>
      <c r="D11" s="66">
        <v>146.52</v>
      </c>
      <c r="E11" s="66">
        <v>146.52</v>
      </c>
      <c r="F11" s="66">
        <v>146.52</v>
      </c>
      <c r="G11" s="66">
        <v>146.52</v>
      </c>
      <c r="H11" s="66">
        <v>146.52</v>
      </c>
      <c r="I11" s="66">
        <v>146.52</v>
      </c>
      <c r="J11" s="4"/>
      <c r="K11" s="17"/>
    </row>
    <row r="12" spans="1:11" ht="12.75">
      <c r="A12" s="117" t="s">
        <v>31</v>
      </c>
      <c r="B12" s="122"/>
      <c r="C12" s="122"/>
      <c r="D12" s="66">
        <v>970.2044559999999</v>
      </c>
      <c r="E12" s="66">
        <v>1018.7304559999999</v>
      </c>
      <c r="F12" s="66">
        <v>1067.2564559999998</v>
      </c>
      <c r="G12" s="66">
        <v>1115.782456</v>
      </c>
      <c r="H12" s="66">
        <v>1164.308456</v>
      </c>
      <c r="I12" s="66">
        <v>1212.834456</v>
      </c>
      <c r="J12" s="4"/>
      <c r="K12" s="17"/>
    </row>
    <row r="13" spans="1:11" ht="12.75">
      <c r="A13" s="117" t="s">
        <v>32</v>
      </c>
      <c r="B13" s="122"/>
      <c r="C13" s="122"/>
      <c r="D13" s="66">
        <v>573.2453</v>
      </c>
      <c r="E13" s="66">
        <v>586.0053</v>
      </c>
      <c r="F13" s="66">
        <v>598.7653</v>
      </c>
      <c r="G13" s="66">
        <v>611.5253</v>
      </c>
      <c r="H13" s="66">
        <v>624.2853</v>
      </c>
      <c r="I13" s="66">
        <v>637.0453</v>
      </c>
      <c r="J13" s="4"/>
      <c r="K13" s="17"/>
    </row>
    <row r="14" spans="1:11" ht="12.75">
      <c r="A14" s="117" t="s">
        <v>33</v>
      </c>
      <c r="B14" s="122"/>
      <c r="C14" s="122"/>
      <c r="D14" s="66">
        <v>602.832</v>
      </c>
      <c r="E14" s="66">
        <v>602.832</v>
      </c>
      <c r="F14" s="66">
        <v>602.832</v>
      </c>
      <c r="G14" s="66">
        <v>602.832</v>
      </c>
      <c r="H14" s="66">
        <v>602.832</v>
      </c>
      <c r="I14" s="66">
        <v>602.832</v>
      </c>
      <c r="J14" s="4"/>
      <c r="K14" s="17"/>
    </row>
    <row r="15" spans="1:11" ht="12.75">
      <c r="A15" s="117" t="s">
        <v>34</v>
      </c>
      <c r="B15" s="122"/>
      <c r="C15" s="122"/>
      <c r="D15" s="66">
        <v>510</v>
      </c>
      <c r="E15" s="66">
        <v>510</v>
      </c>
      <c r="F15" s="66">
        <v>510</v>
      </c>
      <c r="G15" s="66">
        <v>510</v>
      </c>
      <c r="H15" s="66">
        <v>510</v>
      </c>
      <c r="I15" s="66">
        <v>510</v>
      </c>
      <c r="J15" s="4"/>
      <c r="K15" s="17"/>
    </row>
    <row r="16" spans="1:11" ht="12.75">
      <c r="A16" s="117" t="s">
        <v>35</v>
      </c>
      <c r="B16" s="122"/>
      <c r="C16" s="122"/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4"/>
      <c r="K16" s="17"/>
    </row>
    <row r="17" spans="1:11" ht="12.75">
      <c r="A17" s="117" t="s">
        <v>54</v>
      </c>
      <c r="B17" s="122"/>
      <c r="C17" s="122"/>
      <c r="D17" s="66">
        <v>3659.8792000000003</v>
      </c>
      <c r="E17" s="66">
        <v>3659.8792000000003</v>
      </c>
      <c r="F17" s="66">
        <v>3659.8792000000003</v>
      </c>
      <c r="G17" s="66">
        <v>3659.8792000000003</v>
      </c>
      <c r="H17" s="66">
        <v>3659.8792000000003</v>
      </c>
      <c r="I17" s="66">
        <v>3659.8792000000003</v>
      </c>
      <c r="J17" s="4"/>
      <c r="K17" s="17"/>
    </row>
    <row r="18" spans="1:11" ht="12.75">
      <c r="A18" s="117" t="s">
        <v>36</v>
      </c>
      <c r="B18" s="122"/>
      <c r="C18" s="122"/>
      <c r="D18" s="66">
        <v>1037.83504607521</v>
      </c>
      <c r="E18" s="66">
        <v>1162.713906973348</v>
      </c>
      <c r="F18" s="66">
        <v>1287.5927678714856</v>
      </c>
      <c r="G18" s="66">
        <v>1396.5351556042353</v>
      </c>
      <c r="H18" s="66">
        <v>1489.5410701715955</v>
      </c>
      <c r="I18" s="66">
        <v>1582.5469847389559</v>
      </c>
      <c r="J18" s="4"/>
      <c r="K18" s="17"/>
    </row>
    <row r="19" spans="1:11" ht="12.75">
      <c r="A19" s="117" t="s">
        <v>37</v>
      </c>
      <c r="B19" s="122"/>
      <c r="C19" s="122"/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4"/>
      <c r="K19" s="17"/>
    </row>
    <row r="20" spans="1:11" ht="12.75">
      <c r="A20" s="117" t="s">
        <v>38</v>
      </c>
      <c r="B20" s="122"/>
      <c r="C20" s="122"/>
      <c r="D20" s="66">
        <v>827.6399999999999</v>
      </c>
      <c r="E20" s="66">
        <v>1034.5499999999997</v>
      </c>
      <c r="F20" s="66">
        <v>1241.4599999999996</v>
      </c>
      <c r="G20" s="66">
        <v>1448.3699999999997</v>
      </c>
      <c r="H20" s="66">
        <v>1655.2799999999997</v>
      </c>
      <c r="I20" s="66">
        <v>1862.1899999999996</v>
      </c>
      <c r="J20" s="4"/>
      <c r="K20" s="17"/>
    </row>
    <row r="21" spans="1:11" ht="12.75">
      <c r="A21" s="117" t="s">
        <v>39</v>
      </c>
      <c r="B21" s="122"/>
      <c r="C21" s="122"/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4"/>
      <c r="K21" s="17"/>
    </row>
    <row r="22" spans="1:11" s="16" customFormat="1" ht="12.75">
      <c r="A22" s="117" t="s">
        <v>40</v>
      </c>
      <c r="B22" s="122"/>
      <c r="C22" s="122"/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4"/>
      <c r="K22" s="15"/>
    </row>
    <row r="23" spans="1:11" s="16" customFormat="1" ht="12.75">
      <c r="A23" s="117" t="s">
        <v>41</v>
      </c>
      <c r="B23" s="122"/>
      <c r="C23" s="122"/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4"/>
      <c r="K23" s="15"/>
    </row>
    <row r="24" spans="1:11" s="16" customFormat="1" ht="12.75">
      <c r="A24" s="117" t="s">
        <v>42</v>
      </c>
      <c r="B24" s="122"/>
      <c r="C24" s="122"/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4"/>
      <c r="K24" s="15"/>
    </row>
    <row r="25" spans="1:11" s="16" customFormat="1" ht="13.5" thickBot="1">
      <c r="A25" s="117" t="s">
        <v>43</v>
      </c>
      <c r="B25" s="122"/>
      <c r="C25" s="122"/>
      <c r="D25" s="66">
        <v>800.6767651089484</v>
      </c>
      <c r="E25" s="66">
        <v>897.0192453061007</v>
      </c>
      <c r="F25" s="66">
        <v>993.3617255032527</v>
      </c>
      <c r="G25" s="66">
        <v>1077.4094158592222</v>
      </c>
      <c r="H25" s="66">
        <v>1149.1623163740087</v>
      </c>
      <c r="I25" s="66">
        <v>1220.915216888795</v>
      </c>
      <c r="J25" s="4"/>
      <c r="K25" s="15"/>
    </row>
    <row r="26" spans="1:11" s="16" customFormat="1" ht="26.25" customHeight="1" thickBot="1">
      <c r="A26" s="260" t="s">
        <v>44</v>
      </c>
      <c r="B26" s="261"/>
      <c r="C26" s="262"/>
      <c r="D26" s="67">
        <f aca="true" t="shared" si="1" ref="D26:I26">SUM(D9:D25)</f>
        <v>16051.66276718416</v>
      </c>
      <c r="E26" s="67">
        <f t="shared" si="1"/>
        <v>17983.10010827945</v>
      </c>
      <c r="F26" s="67">
        <f t="shared" si="1"/>
        <v>19914.537449374737</v>
      </c>
      <c r="G26" s="67">
        <f t="shared" si="1"/>
        <v>21599.49352746346</v>
      </c>
      <c r="H26" s="67">
        <f t="shared" si="1"/>
        <v>23037.968342545602</v>
      </c>
      <c r="I26" s="67">
        <f t="shared" si="1"/>
        <v>24476.443157627753</v>
      </c>
      <c r="J26" s="4"/>
      <c r="K26" s="15"/>
    </row>
    <row r="27" spans="1:11" s="16" customFormat="1" ht="13.5" thickBot="1">
      <c r="A27" s="123"/>
      <c r="B27" s="124"/>
      <c r="C27" s="124"/>
      <c r="D27" s="68"/>
      <c r="E27" s="68"/>
      <c r="F27" s="68"/>
      <c r="G27" s="68"/>
      <c r="H27" s="68"/>
      <c r="I27" s="68"/>
      <c r="J27" s="4"/>
      <c r="K27" s="15"/>
    </row>
    <row r="28" spans="1:11" ht="13.5" thickBot="1">
      <c r="A28" s="263" t="s">
        <v>45</v>
      </c>
      <c r="B28" s="264"/>
      <c r="C28" s="265"/>
      <c r="D28" s="67">
        <v>1820.2615448828672</v>
      </c>
      <c r="E28" s="67">
        <v>1820.2615448828672</v>
      </c>
      <c r="F28" s="67">
        <v>1820.2615448828672</v>
      </c>
      <c r="G28" s="67">
        <v>1820.2615448828672</v>
      </c>
      <c r="H28" s="67">
        <v>1820.2615448828672</v>
      </c>
      <c r="I28" s="67">
        <v>1820.2615448828672</v>
      </c>
      <c r="J28" s="30"/>
      <c r="K28" s="4"/>
    </row>
    <row r="29" spans="1:11" ht="13.5" thickBot="1">
      <c r="A29" s="123"/>
      <c r="B29" s="124"/>
      <c r="C29" s="124"/>
      <c r="D29" s="68"/>
      <c r="E29" s="68"/>
      <c r="F29" s="68"/>
      <c r="G29" s="68"/>
      <c r="H29" s="68"/>
      <c r="I29" s="68"/>
      <c r="J29" s="4"/>
      <c r="K29" s="17"/>
    </row>
    <row r="30" spans="1:11" ht="26.25" customHeight="1" thickBot="1">
      <c r="A30" s="260" t="s">
        <v>46</v>
      </c>
      <c r="B30" s="261"/>
      <c r="C30" s="262"/>
      <c r="D30" s="67">
        <f aca="true" t="shared" si="2" ref="D30:I30">D26+D28</f>
        <v>17871.924312067025</v>
      </c>
      <c r="E30" s="67">
        <f t="shared" si="2"/>
        <v>19803.361653162316</v>
      </c>
      <c r="F30" s="67">
        <f t="shared" si="2"/>
        <v>21734.798994257602</v>
      </c>
      <c r="G30" s="67">
        <f t="shared" si="2"/>
        <v>23419.755072346325</v>
      </c>
      <c r="H30" s="67">
        <f t="shared" si="2"/>
        <v>24858.229887428468</v>
      </c>
      <c r="I30" s="67">
        <f t="shared" si="2"/>
        <v>26296.70470251062</v>
      </c>
      <c r="J30" s="4"/>
      <c r="K30" s="17"/>
    </row>
    <row r="31" spans="1:11" ht="13.5" thickBot="1">
      <c r="A31" s="118"/>
      <c r="B31" s="119"/>
      <c r="C31" s="119"/>
      <c r="D31" s="70"/>
      <c r="E31" s="70"/>
      <c r="F31" s="70"/>
      <c r="G31" s="70"/>
      <c r="H31" s="70"/>
      <c r="I31" s="70"/>
      <c r="J31" s="4"/>
      <c r="K31" s="17"/>
    </row>
    <row r="32" spans="1:11" ht="26.25" customHeight="1" thickBot="1">
      <c r="A32" s="260" t="s">
        <v>47</v>
      </c>
      <c r="B32" s="279"/>
      <c r="C32" s="280"/>
      <c r="D32" s="67">
        <f aca="true" t="shared" si="3" ref="D32:I32">D30/D5</f>
        <v>2233.990539008378</v>
      </c>
      <c r="E32" s="67">
        <f t="shared" si="3"/>
        <v>1980.3361653162315</v>
      </c>
      <c r="F32" s="67">
        <f t="shared" si="3"/>
        <v>1811.2332495214669</v>
      </c>
      <c r="G32" s="67">
        <f t="shared" si="3"/>
        <v>1672.8396480247375</v>
      </c>
      <c r="H32" s="67">
        <f t="shared" si="3"/>
        <v>1553.6393679642792</v>
      </c>
      <c r="I32" s="67">
        <f t="shared" si="3"/>
        <v>1460.9280390283677</v>
      </c>
      <c r="J32" s="4"/>
      <c r="K32" s="17"/>
    </row>
    <row r="33" spans="1:11" ht="13.5" thickBot="1">
      <c r="A33" s="118"/>
      <c r="B33" s="119"/>
      <c r="C33" s="119"/>
      <c r="D33" s="70"/>
      <c r="E33" s="70"/>
      <c r="F33" s="70"/>
      <c r="G33" s="70"/>
      <c r="H33" s="70"/>
      <c r="I33" s="70"/>
      <c r="J33" s="4"/>
      <c r="K33" s="17"/>
    </row>
    <row r="34" spans="1:11" ht="13.5" thickBot="1">
      <c r="A34" s="116" t="s">
        <v>48</v>
      </c>
      <c r="B34" s="129"/>
      <c r="C34" s="129"/>
      <c r="D34" s="67">
        <f>'Pryse + Sensatiwiteitsanali'!D4</f>
        <v>261</v>
      </c>
      <c r="E34" s="67">
        <f>$D$34</f>
        <v>261</v>
      </c>
      <c r="F34" s="67">
        <f>$D$34</f>
        <v>261</v>
      </c>
      <c r="G34" s="67">
        <f>$D$34</f>
        <v>261</v>
      </c>
      <c r="H34" s="67">
        <f>$D$34</f>
        <v>261</v>
      </c>
      <c r="I34" s="67">
        <f>$D$34</f>
        <v>261</v>
      </c>
      <c r="J34" s="4"/>
      <c r="K34" s="4"/>
    </row>
    <row r="35" spans="1:11" ht="13.5" thickBot="1">
      <c r="A35" s="118"/>
      <c r="B35" s="119"/>
      <c r="C35" s="119"/>
      <c r="D35" s="70"/>
      <c r="E35" s="70"/>
      <c r="F35" s="70"/>
      <c r="G35" s="70"/>
      <c r="H35" s="70"/>
      <c r="I35" s="70"/>
      <c r="J35" s="4"/>
      <c r="K35" s="4"/>
    </row>
    <row r="36" spans="1:10" ht="23.25" customHeight="1" thickBot="1">
      <c r="A36" s="287" t="s">
        <v>49</v>
      </c>
      <c r="B36" s="279"/>
      <c r="C36" s="280"/>
      <c r="D36" s="69">
        <f aca="true" t="shared" si="4" ref="D36:I36">D32+D34</f>
        <v>2494.990539008378</v>
      </c>
      <c r="E36" s="69">
        <f t="shared" si="4"/>
        <v>2241.3361653162315</v>
      </c>
      <c r="F36" s="69">
        <f t="shared" si="4"/>
        <v>2072.233249521467</v>
      </c>
      <c r="G36" s="69">
        <f t="shared" si="4"/>
        <v>1933.8396480247375</v>
      </c>
      <c r="H36" s="69">
        <f t="shared" si="4"/>
        <v>1814.6393679642792</v>
      </c>
      <c r="I36" s="69">
        <f t="shared" si="4"/>
        <v>1721.9280390283677</v>
      </c>
      <c r="J36" s="4"/>
    </row>
    <row r="37" spans="1:10" ht="13.5" thickBot="1">
      <c r="A37" s="125" t="s">
        <v>50</v>
      </c>
      <c r="B37" s="126"/>
      <c r="C37" s="127"/>
      <c r="D37" s="69">
        <f>'Pryse + Sensatiwiteitsanali'!B4</f>
        <v>2700</v>
      </c>
      <c r="E37" s="69">
        <f>$D$37</f>
        <v>2700</v>
      </c>
      <c r="F37" s="69">
        <v>3000</v>
      </c>
      <c r="G37" s="69">
        <v>3000</v>
      </c>
      <c r="H37" s="69">
        <v>3000</v>
      </c>
      <c r="I37" s="69">
        <v>3000</v>
      </c>
      <c r="J37" s="17"/>
    </row>
    <row r="38" spans="4:10" ht="12.75">
      <c r="D38" s="63"/>
      <c r="E38" s="63"/>
      <c r="F38" s="63"/>
      <c r="G38" s="63"/>
      <c r="H38" s="63"/>
      <c r="I38" s="72"/>
      <c r="J38" s="4"/>
    </row>
    <row r="39" spans="1:10" ht="13.5" thickBot="1">
      <c r="A39" s="4"/>
      <c r="B39" s="32"/>
      <c r="C39" s="4"/>
      <c r="D39" s="4"/>
      <c r="E39" s="4"/>
      <c r="F39" s="4"/>
      <c r="G39" s="4"/>
      <c r="H39" s="4"/>
      <c r="I39" s="17"/>
      <c r="J39" s="4"/>
    </row>
    <row r="40" spans="1:10" ht="12.75">
      <c r="A40" s="1" t="s">
        <v>6</v>
      </c>
      <c r="B40" s="33"/>
      <c r="C40" s="34"/>
      <c r="D40" s="34"/>
      <c r="E40" s="34"/>
      <c r="F40" s="34"/>
      <c r="G40" s="34"/>
      <c r="H40" s="35"/>
      <c r="I40" s="17"/>
      <c r="J40" s="4"/>
    </row>
    <row r="41" spans="1:10" ht="12.75">
      <c r="A41" s="36" t="s">
        <v>1</v>
      </c>
      <c r="B41" s="37"/>
      <c r="C41" s="38"/>
      <c r="D41" s="39"/>
      <c r="E41" s="39"/>
      <c r="F41" s="39"/>
      <c r="G41" s="39"/>
      <c r="H41" s="40"/>
      <c r="I41" s="17"/>
      <c r="J41" s="4"/>
    </row>
    <row r="42" spans="1:10" ht="13.5" thickBot="1">
      <c r="A42" s="41" t="s">
        <v>0</v>
      </c>
      <c r="B42" s="42"/>
      <c r="C42" s="43"/>
      <c r="D42" s="43"/>
      <c r="E42" s="43"/>
      <c r="F42" s="43"/>
      <c r="G42" s="44"/>
      <c r="H42" s="45"/>
      <c r="I42" s="17"/>
      <c r="J42" s="4"/>
    </row>
    <row r="43" spans="1:10" ht="13.5" thickBot="1">
      <c r="A43" s="46"/>
      <c r="B43" s="11"/>
      <c r="C43" s="47" t="s">
        <v>2</v>
      </c>
      <c r="D43" s="48"/>
      <c r="E43" s="48"/>
      <c r="F43" s="48"/>
      <c r="G43" s="49"/>
      <c r="H43" s="50"/>
      <c r="I43" s="17"/>
      <c r="J43" s="4"/>
    </row>
    <row r="44" spans="1:10" ht="13.5" thickBot="1">
      <c r="A44" s="5"/>
      <c r="B44" s="32"/>
      <c r="C44" s="4"/>
      <c r="D44" s="4"/>
      <c r="E44" s="4"/>
      <c r="F44" s="4"/>
      <c r="G44" s="4"/>
      <c r="H44" s="51"/>
      <c r="I44" s="17"/>
      <c r="J44" s="4"/>
    </row>
    <row r="45" spans="1:10" ht="13.5" thickBot="1">
      <c r="A45" s="5"/>
      <c r="B45" s="52"/>
      <c r="C45" s="53">
        <v>2539</v>
      </c>
      <c r="D45" s="53">
        <v>2639</v>
      </c>
      <c r="E45" s="54">
        <v>2739</v>
      </c>
      <c r="F45" s="53">
        <v>2839</v>
      </c>
      <c r="G45" s="55">
        <v>2939</v>
      </c>
      <c r="H45" s="51"/>
      <c r="I45" s="17"/>
      <c r="J45" s="4"/>
    </row>
    <row r="46" spans="1:10" ht="12.75">
      <c r="A46" s="5"/>
      <c r="B46" s="245">
        <v>8</v>
      </c>
      <c r="C46" s="79">
        <f>($B$46*C45)-$D$30</f>
        <v>2440.0756879329747</v>
      </c>
      <c r="D46" s="80">
        <f>($B$46*D45)-$D$30</f>
        <v>3240.0756879329747</v>
      </c>
      <c r="E46" s="80">
        <f>($B$46*E45)-$D$30</f>
        <v>4040.0756879329747</v>
      </c>
      <c r="F46" s="80">
        <f>($B$46*F45)-$D$30</f>
        <v>4840.075687932975</v>
      </c>
      <c r="G46" s="81">
        <f>($B$46*G45)-$D$30</f>
        <v>5640.075687932975</v>
      </c>
      <c r="H46" s="51"/>
      <c r="I46" s="17"/>
      <c r="J46" s="4"/>
    </row>
    <row r="47" spans="1:10" ht="12.75">
      <c r="A47" s="5"/>
      <c r="B47" s="245"/>
      <c r="C47" s="82"/>
      <c r="D47" s="75"/>
      <c r="E47" s="75"/>
      <c r="F47" s="75"/>
      <c r="G47" s="76"/>
      <c r="H47" s="51"/>
      <c r="I47" s="17"/>
      <c r="J47" s="4"/>
    </row>
    <row r="48" spans="1:10" ht="12.75">
      <c r="A48" s="5"/>
      <c r="B48" s="245">
        <v>10</v>
      </c>
      <c r="C48" s="82">
        <f>($B$48*C45)-$E$30</f>
        <v>5586.638346837684</v>
      </c>
      <c r="D48" s="75">
        <f>($B$48*D45)-$E$30</f>
        <v>6586.638346837684</v>
      </c>
      <c r="E48" s="75">
        <f>($B$48*E45)-$E$30</f>
        <v>7586.638346837684</v>
      </c>
      <c r="F48" s="75">
        <f>($B$48*F45)-$E$30</f>
        <v>8586.638346837684</v>
      </c>
      <c r="G48" s="76">
        <f>($B$48*G45)-$E$30</f>
        <v>9586.638346837684</v>
      </c>
      <c r="H48" s="51"/>
      <c r="I48" s="17"/>
      <c r="J48" s="4"/>
    </row>
    <row r="49" spans="1:10" ht="13.5" thickBot="1">
      <c r="A49" s="58"/>
      <c r="B49" s="245"/>
      <c r="C49" s="82"/>
      <c r="D49" s="75"/>
      <c r="E49" s="75"/>
      <c r="F49" s="75"/>
      <c r="G49" s="76"/>
      <c r="H49" s="51"/>
      <c r="I49" s="17"/>
      <c r="J49" s="4"/>
    </row>
    <row r="50" spans="1:10" ht="13.5" thickBot="1">
      <c r="A50" s="59" t="s">
        <v>4</v>
      </c>
      <c r="B50" s="246">
        <v>12</v>
      </c>
      <c r="C50" s="82">
        <f>($B$50*C45)-$F$30</f>
        <v>8733.201005742398</v>
      </c>
      <c r="D50" s="75">
        <f>($B$50*D45)-$F$30</f>
        <v>9933.201005742398</v>
      </c>
      <c r="E50" s="75">
        <f>($B$50*E45)-$F$30</f>
        <v>11133.201005742398</v>
      </c>
      <c r="F50" s="75">
        <f>($B$50*F45)-$F$30</f>
        <v>12333.201005742398</v>
      </c>
      <c r="G50" s="76">
        <f>($B$50*G45)-$F$30</f>
        <v>13533.201005742398</v>
      </c>
      <c r="H50" s="51"/>
      <c r="I50" s="17"/>
      <c r="J50" s="4"/>
    </row>
    <row r="51" spans="1:10" ht="12.75">
      <c r="A51" s="5"/>
      <c r="B51" s="245"/>
      <c r="C51" s="82"/>
      <c r="D51" s="75"/>
      <c r="E51" s="75"/>
      <c r="F51" s="75"/>
      <c r="G51" s="76"/>
      <c r="H51" s="51"/>
      <c r="I51" s="17"/>
      <c r="J51" s="4"/>
    </row>
    <row r="52" spans="1:10" ht="12.75">
      <c r="A52" s="5"/>
      <c r="B52" s="245">
        <v>14</v>
      </c>
      <c r="C52" s="82">
        <f>($B$52*C45)-$G$30</f>
        <v>12126.244927653675</v>
      </c>
      <c r="D52" s="75">
        <f>($B$52*D45)-$G$30</f>
        <v>13526.244927653675</v>
      </c>
      <c r="E52" s="75">
        <f>($B$52*E45)-$G$30</f>
        <v>14926.244927653675</v>
      </c>
      <c r="F52" s="75">
        <f>($B$52*F45)-$G$30</f>
        <v>16326.244927653675</v>
      </c>
      <c r="G52" s="76">
        <f>($B$52*G45)-$G$30</f>
        <v>17726.244927653675</v>
      </c>
      <c r="H52" s="51"/>
      <c r="I52" s="17"/>
      <c r="J52" s="4"/>
    </row>
    <row r="53" spans="1:10" ht="12.75">
      <c r="A53" s="5"/>
      <c r="B53" s="245"/>
      <c r="C53" s="82"/>
      <c r="D53" s="75"/>
      <c r="E53" s="75"/>
      <c r="F53" s="75"/>
      <c r="G53" s="76"/>
      <c r="H53" s="51"/>
      <c r="I53" s="17"/>
      <c r="J53" s="4"/>
    </row>
    <row r="54" spans="1:10" ht="12.75">
      <c r="A54" s="5"/>
      <c r="B54" s="245">
        <v>16</v>
      </c>
      <c r="C54" s="82">
        <f>($B$54*C45)-$H$30</f>
        <v>15765.770112571532</v>
      </c>
      <c r="D54" s="75">
        <f>($B$54*D45)-$H$30</f>
        <v>17365.770112571532</v>
      </c>
      <c r="E54" s="75">
        <f>($B$54*E45)-$H$30</f>
        <v>18965.770112571532</v>
      </c>
      <c r="F54" s="75">
        <f>($B$54*F45)-$H$30</f>
        <v>20565.770112571532</v>
      </c>
      <c r="G54" s="76">
        <f>($B$54*G45)-$H$30</f>
        <v>22165.770112571532</v>
      </c>
      <c r="H54" s="51"/>
      <c r="I54" s="17"/>
      <c r="J54" s="4"/>
    </row>
    <row r="55" spans="1:10" ht="12.75">
      <c r="A55" s="5"/>
      <c r="B55" s="245"/>
      <c r="C55" s="82"/>
      <c r="D55" s="75"/>
      <c r="E55" s="75"/>
      <c r="F55" s="75"/>
      <c r="G55" s="76"/>
      <c r="H55" s="51"/>
      <c r="I55" s="17"/>
      <c r="J55" s="4"/>
    </row>
    <row r="56" spans="1:10" ht="13.5" thickBot="1">
      <c r="A56" s="5"/>
      <c r="B56" s="247">
        <v>18</v>
      </c>
      <c r="C56" s="86">
        <f>($B$56*C45)-$I$30</f>
        <v>19405.29529748938</v>
      </c>
      <c r="D56" s="87">
        <f>($B$56*D45)-$I$30</f>
        <v>21205.29529748938</v>
      </c>
      <c r="E56" s="87">
        <f>($B$56*E45)-$I$30</f>
        <v>23005.29529748938</v>
      </c>
      <c r="F56" s="87">
        <f>($B$56*F45)-$I$30</f>
        <v>24805.29529748938</v>
      </c>
      <c r="G56" s="88">
        <f>($B$56*G45)-$I$30</f>
        <v>26605.29529748938</v>
      </c>
      <c r="H56" s="51"/>
      <c r="I56" s="17"/>
      <c r="J56" s="4"/>
    </row>
    <row r="57" spans="1:10" ht="13.5" thickBot="1">
      <c r="A57" s="62"/>
      <c r="B57" s="13"/>
      <c r="C57" s="13"/>
      <c r="D57" s="13"/>
      <c r="E57" s="13"/>
      <c r="F57" s="13"/>
      <c r="G57" s="13"/>
      <c r="H57" s="6"/>
      <c r="J57" s="4"/>
    </row>
    <row r="58" spans="1:10" ht="15">
      <c r="A58" s="132" t="s">
        <v>55</v>
      </c>
      <c r="B58" s="133"/>
      <c r="C58" s="133"/>
      <c r="D58" s="133"/>
      <c r="E58" s="133"/>
      <c r="F58" s="133"/>
      <c r="G58" s="133"/>
      <c r="H58" s="134"/>
      <c r="I58" s="131"/>
      <c r="J58" s="131"/>
    </row>
    <row r="59" spans="1:10" ht="15">
      <c r="A59" s="135" t="s">
        <v>56</v>
      </c>
      <c r="B59" s="136"/>
      <c r="C59" s="136"/>
      <c r="D59" s="136"/>
      <c r="E59" s="136"/>
      <c r="F59" s="136"/>
      <c r="G59" s="136"/>
      <c r="H59" s="137"/>
      <c r="I59" s="131"/>
      <c r="J59" s="131"/>
    </row>
    <row r="60" spans="1:10" ht="15.75" thickBot="1">
      <c r="A60" s="138" t="s">
        <v>57</v>
      </c>
      <c r="B60" s="139"/>
      <c r="C60" s="139"/>
      <c r="D60" s="139"/>
      <c r="E60" s="139"/>
      <c r="F60" s="139"/>
      <c r="G60" s="139"/>
      <c r="H60" s="140"/>
      <c r="I60" s="131"/>
      <c r="J60" s="131"/>
    </row>
    <row r="61" spans="1:8" ht="12.75">
      <c r="A61" s="267" t="s">
        <v>58</v>
      </c>
      <c r="B61" s="268"/>
      <c r="C61" s="268"/>
      <c r="D61" s="268"/>
      <c r="E61" s="268"/>
      <c r="F61" s="268"/>
      <c r="G61" s="268"/>
      <c r="H61" s="269"/>
    </row>
    <row r="62" spans="1:8" ht="12.75">
      <c r="A62" s="270"/>
      <c r="B62" s="271"/>
      <c r="C62" s="271"/>
      <c r="D62" s="271"/>
      <c r="E62" s="271"/>
      <c r="F62" s="271"/>
      <c r="G62" s="271"/>
      <c r="H62" s="272"/>
    </row>
    <row r="63" spans="1:8" ht="12.75">
      <c r="A63" s="270"/>
      <c r="B63" s="271"/>
      <c r="C63" s="271"/>
      <c r="D63" s="271"/>
      <c r="E63" s="271"/>
      <c r="F63" s="271"/>
      <c r="G63" s="271"/>
      <c r="H63" s="272"/>
    </row>
    <row r="64" spans="1:8" ht="13.5" thickBot="1">
      <c r="A64" s="273"/>
      <c r="B64" s="274"/>
      <c r="C64" s="274"/>
      <c r="D64" s="274"/>
      <c r="E64" s="274"/>
      <c r="F64" s="274"/>
      <c r="G64" s="274"/>
      <c r="H64" s="275"/>
    </row>
    <row r="91" ht="12.75"/>
    <row r="92" ht="12.75"/>
    <row r="93" ht="12.75"/>
    <row r="94" ht="12.75"/>
    <row r="95" ht="12.75"/>
  </sheetData>
  <sheetProtection/>
  <mergeCells count="10">
    <mergeCell ref="A61:H64"/>
    <mergeCell ref="A1:D1"/>
    <mergeCell ref="E1:G1"/>
    <mergeCell ref="A36:C36"/>
    <mergeCell ref="A3:C3"/>
    <mergeCell ref="A8:C8"/>
    <mergeCell ref="A26:C26"/>
    <mergeCell ref="A28:C28"/>
    <mergeCell ref="A30:C30"/>
    <mergeCell ref="A32:C32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61" r:id="rId2"/>
  <headerFooter alignWithMargins="0">
    <oddHeader>&amp;C&amp;F</oddHeader>
    <oddFooter>&amp;C&amp;A&amp;RPage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85" zoomScaleNormal="85" zoomScaleSheetLayoutView="9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28125" style="2" customWidth="1"/>
    <col min="3" max="3" width="17.28125" style="2" customWidth="1"/>
    <col min="4" max="4" width="16.00390625" style="2" customWidth="1"/>
    <col min="5" max="5" width="14.00390625" style="2" customWidth="1"/>
    <col min="6" max="8" width="11.8515625" style="2" customWidth="1"/>
    <col min="9" max="9" width="12.8515625" style="2" bestFit="1" customWidth="1"/>
    <col min="10" max="10" width="12.421875" style="2" bestFit="1" customWidth="1"/>
    <col min="11" max="15" width="12.7109375" style="2" hidden="1" customWidth="1"/>
    <col min="16" max="26" width="12.7109375" style="2" customWidth="1"/>
    <col min="27" max="16384" width="9.140625" style="2" customWidth="1"/>
  </cols>
  <sheetData>
    <row r="1" spans="1:10" s="4" customFormat="1" ht="31.5" customHeight="1" thickBot="1">
      <c r="A1" s="276" t="s">
        <v>63</v>
      </c>
      <c r="B1" s="277"/>
      <c r="C1" s="277"/>
      <c r="D1" s="277"/>
      <c r="E1" s="278" t="s">
        <v>15</v>
      </c>
      <c r="F1" s="278"/>
      <c r="G1" s="278"/>
      <c r="H1" s="3"/>
      <c r="I1" s="18"/>
      <c r="J1" s="17"/>
    </row>
    <row r="2" spans="1:10" ht="16.5" thickBot="1">
      <c r="A2" s="19"/>
      <c r="B2" s="20"/>
      <c r="C2" s="21"/>
      <c r="D2" s="21"/>
      <c r="E2" s="13"/>
      <c r="F2" s="13"/>
      <c r="G2" s="13"/>
      <c r="H2" s="13"/>
      <c r="I2" s="6"/>
      <c r="J2" s="4"/>
    </row>
    <row r="3" spans="1:9" ht="25.5" customHeight="1" thickBot="1">
      <c r="A3" s="281" t="s">
        <v>24</v>
      </c>
      <c r="B3" s="282"/>
      <c r="C3" s="282"/>
      <c r="D3" s="64"/>
      <c r="E3" s="77">
        <f>'Pryse + Sensatiwiteitsanali'!B24</f>
        <v>2439</v>
      </c>
      <c r="F3" s="64" t="s">
        <v>3</v>
      </c>
      <c r="G3" s="22"/>
      <c r="H3" s="22"/>
      <c r="I3" s="7"/>
    </row>
    <row r="4" spans="1:10" ht="13.5" thickBot="1">
      <c r="A4" s="111"/>
      <c r="B4" s="9"/>
      <c r="C4" s="9"/>
      <c r="D4" s="8"/>
      <c r="E4" s="12"/>
      <c r="F4" s="23"/>
      <c r="G4" s="9"/>
      <c r="H4" s="24"/>
      <c r="I4" s="24"/>
      <c r="J4" s="4"/>
    </row>
    <row r="5" spans="1:14" ht="13.5" thickBot="1">
      <c r="A5" s="115" t="s">
        <v>25</v>
      </c>
      <c r="B5" s="9"/>
      <c r="C5" s="9"/>
      <c r="D5" s="97">
        <v>3</v>
      </c>
      <c r="E5" s="97">
        <v>3.5</v>
      </c>
      <c r="F5" s="97">
        <v>4</v>
      </c>
      <c r="G5" s="97">
        <v>4.5</v>
      </c>
      <c r="H5" s="97">
        <v>5</v>
      </c>
      <c r="I5" s="97">
        <v>5.5</v>
      </c>
      <c r="J5" s="4"/>
      <c r="M5" s="104"/>
      <c r="N5" s="104"/>
    </row>
    <row r="6" spans="1:14" ht="13.5" thickBot="1">
      <c r="A6" s="116" t="s">
        <v>26</v>
      </c>
      <c r="B6" s="113"/>
      <c r="C6" s="114"/>
      <c r="D6" s="73">
        <f aca="true" t="shared" si="0" ref="D6:I6">$E$3*D5</f>
        <v>7317</v>
      </c>
      <c r="E6" s="73">
        <f t="shared" si="0"/>
        <v>8536.5</v>
      </c>
      <c r="F6" s="73">
        <f t="shared" si="0"/>
        <v>9756</v>
      </c>
      <c r="G6" s="73">
        <f t="shared" si="0"/>
        <v>10975.5</v>
      </c>
      <c r="H6" s="73">
        <f t="shared" si="0"/>
        <v>12195</v>
      </c>
      <c r="I6" s="73">
        <f t="shared" si="0"/>
        <v>13414.5</v>
      </c>
      <c r="J6" s="4"/>
      <c r="M6" s="105"/>
      <c r="N6" s="105"/>
    </row>
    <row r="7" spans="1:15" ht="15.75" thickBot="1">
      <c r="A7" s="109"/>
      <c r="B7" s="110"/>
      <c r="C7" s="110"/>
      <c r="D7" s="26"/>
      <c r="E7" s="26"/>
      <c r="F7" s="26"/>
      <c r="G7" s="26"/>
      <c r="H7" s="26"/>
      <c r="I7" s="26"/>
      <c r="J7" s="4"/>
      <c r="M7" s="266" t="s">
        <v>123</v>
      </c>
      <c r="N7" s="266"/>
      <c r="O7" s="266"/>
    </row>
    <row r="8" spans="1:15" ht="15.75" thickBot="1">
      <c r="A8" s="257" t="s">
        <v>27</v>
      </c>
      <c r="B8" s="258"/>
      <c r="C8" s="259"/>
      <c r="D8" s="27"/>
      <c r="E8" s="27"/>
      <c r="F8" s="27"/>
      <c r="G8" s="27"/>
      <c r="H8" s="27"/>
      <c r="I8" s="27"/>
      <c r="J8" s="4"/>
      <c r="M8" s="238" t="s">
        <v>120</v>
      </c>
      <c r="N8" s="238" t="s">
        <v>121</v>
      </c>
      <c r="O8" s="238" t="s">
        <v>122</v>
      </c>
    </row>
    <row r="9" spans="1:15" ht="15">
      <c r="A9" s="120" t="s">
        <v>28</v>
      </c>
      <c r="B9" s="121"/>
      <c r="C9" s="121"/>
      <c r="D9" s="65">
        <v>654.75</v>
      </c>
      <c r="E9" s="65">
        <v>698.4</v>
      </c>
      <c r="F9" s="65">
        <v>785.7</v>
      </c>
      <c r="G9" s="65">
        <v>873</v>
      </c>
      <c r="H9" s="65">
        <v>982.125</v>
      </c>
      <c r="I9" s="65">
        <v>1047.6000000000001</v>
      </c>
      <c r="J9" s="4"/>
      <c r="K9" s="63"/>
      <c r="M9" s="239">
        <f>D5</f>
        <v>3</v>
      </c>
      <c r="N9" s="239">
        <f>D25</f>
        <v>6461.263731497776</v>
      </c>
      <c r="O9" s="239">
        <f>D27</f>
        <v>2449.267781438091</v>
      </c>
    </row>
    <row r="10" spans="1:15" ht="15">
      <c r="A10" s="117" t="s">
        <v>29</v>
      </c>
      <c r="B10" s="122"/>
      <c r="C10" s="122"/>
      <c r="D10" s="66">
        <v>1585</v>
      </c>
      <c r="E10" s="66">
        <v>1832.5</v>
      </c>
      <c r="F10" s="66">
        <v>2080</v>
      </c>
      <c r="G10" s="66">
        <v>2327.5</v>
      </c>
      <c r="H10" s="66">
        <v>2575</v>
      </c>
      <c r="I10" s="66">
        <v>2822.5</v>
      </c>
      <c r="J10" s="4"/>
      <c r="K10" s="63"/>
      <c r="M10" s="239">
        <f>E5</f>
        <v>3.5</v>
      </c>
      <c r="N10" s="239">
        <f>E25</f>
        <v>6901.164460116112</v>
      </c>
      <c r="O10" s="239">
        <f>E27</f>
        <v>2449.267781438091</v>
      </c>
    </row>
    <row r="11" spans="1:15" ht="15">
      <c r="A11" s="117" t="s">
        <v>30</v>
      </c>
      <c r="B11" s="122"/>
      <c r="C11" s="122"/>
      <c r="D11" s="66">
        <v>530</v>
      </c>
      <c r="E11" s="66">
        <v>530</v>
      </c>
      <c r="F11" s="66">
        <v>530</v>
      </c>
      <c r="G11" s="66">
        <v>530</v>
      </c>
      <c r="H11" s="66">
        <v>530</v>
      </c>
      <c r="I11" s="66">
        <v>530</v>
      </c>
      <c r="J11" s="4"/>
      <c r="K11" s="63"/>
      <c r="M11" s="239">
        <f>F5</f>
        <v>4</v>
      </c>
      <c r="N11" s="239">
        <f>F25</f>
        <v>7390.361441335765</v>
      </c>
      <c r="O11" s="239">
        <f>F27</f>
        <v>2449.267781438091</v>
      </c>
    </row>
    <row r="12" spans="1:15" ht="15">
      <c r="A12" s="117" t="s">
        <v>31</v>
      </c>
      <c r="B12" s="122"/>
      <c r="C12" s="122"/>
      <c r="D12" s="66">
        <v>1045.825656</v>
      </c>
      <c r="E12" s="66">
        <v>1062.7459059999999</v>
      </c>
      <c r="F12" s="66">
        <v>1079.666156</v>
      </c>
      <c r="G12" s="66">
        <v>1096.586406</v>
      </c>
      <c r="H12" s="66">
        <v>1113.506656</v>
      </c>
      <c r="I12" s="66">
        <v>1130.426906</v>
      </c>
      <c r="J12" s="4"/>
      <c r="K12" s="63"/>
      <c r="M12" s="239">
        <f>G5</f>
        <v>4.5</v>
      </c>
      <c r="N12" s="239">
        <f>G25</f>
        <v>7879.558422555416</v>
      </c>
      <c r="O12" s="239">
        <f>G27</f>
        <v>2449.267781438091</v>
      </c>
    </row>
    <row r="13" spans="1:15" ht="15">
      <c r="A13" s="117" t="s">
        <v>32</v>
      </c>
      <c r="B13" s="122"/>
      <c r="C13" s="122"/>
      <c r="D13" s="66">
        <v>727.3503000000001</v>
      </c>
      <c r="E13" s="66">
        <v>730.4153</v>
      </c>
      <c r="F13" s="66">
        <v>733.4803</v>
      </c>
      <c r="G13" s="66">
        <v>736.5453</v>
      </c>
      <c r="H13" s="66">
        <v>739.6103</v>
      </c>
      <c r="I13" s="66">
        <v>742.6753</v>
      </c>
      <c r="J13" s="4"/>
      <c r="K13" s="63"/>
      <c r="M13" s="239">
        <f>H5</f>
        <v>5</v>
      </c>
      <c r="N13" s="239">
        <f>H25</f>
        <v>8393.403530075724</v>
      </c>
      <c r="O13" s="239">
        <f>H27</f>
        <v>2449.267781438091</v>
      </c>
    </row>
    <row r="14" spans="1:15" ht="15">
      <c r="A14" s="117" t="s">
        <v>33</v>
      </c>
      <c r="B14" s="122"/>
      <c r="C14" s="122"/>
      <c r="D14" s="66">
        <v>550</v>
      </c>
      <c r="E14" s="66">
        <v>550</v>
      </c>
      <c r="F14" s="66">
        <v>550</v>
      </c>
      <c r="G14" s="66">
        <v>550</v>
      </c>
      <c r="H14" s="66">
        <v>550</v>
      </c>
      <c r="I14" s="66">
        <v>550</v>
      </c>
      <c r="J14" s="4"/>
      <c r="K14" s="63"/>
      <c r="M14" s="239">
        <f>I5</f>
        <v>5.5</v>
      </c>
      <c r="N14" s="239">
        <f>I25</f>
        <v>8857.95238499472</v>
      </c>
      <c r="O14" s="239">
        <f>I27</f>
        <v>2449.267781438091</v>
      </c>
    </row>
    <row r="15" spans="1:14" ht="12.75">
      <c r="A15" s="117" t="s">
        <v>34</v>
      </c>
      <c r="B15" s="122"/>
      <c r="C15" s="122"/>
      <c r="D15" s="66">
        <v>158</v>
      </c>
      <c r="E15" s="66">
        <v>158</v>
      </c>
      <c r="F15" s="66">
        <v>158</v>
      </c>
      <c r="G15" s="66">
        <v>158</v>
      </c>
      <c r="H15" s="66">
        <v>158</v>
      </c>
      <c r="I15" s="66">
        <v>158</v>
      </c>
      <c r="J15" s="4"/>
      <c r="K15" s="63"/>
      <c r="M15" s="75"/>
      <c r="N15" s="75"/>
    </row>
    <row r="16" spans="1:14" ht="12.75">
      <c r="A16" s="117" t="s">
        <v>35</v>
      </c>
      <c r="B16" s="122"/>
      <c r="C16" s="122"/>
      <c r="D16" s="66">
        <v>160.2315</v>
      </c>
      <c r="E16" s="66">
        <v>186.93675000000002</v>
      </c>
      <c r="F16" s="66">
        <v>213.642</v>
      </c>
      <c r="G16" s="66">
        <v>240.34724999999997</v>
      </c>
      <c r="H16" s="66">
        <v>267.0525</v>
      </c>
      <c r="I16" s="66">
        <v>293.75775</v>
      </c>
      <c r="J16" s="4"/>
      <c r="K16" s="63"/>
      <c r="M16" s="75"/>
      <c r="N16" s="75"/>
    </row>
    <row r="17" spans="1:14" ht="12.75">
      <c r="A17" s="117" t="s">
        <v>36</v>
      </c>
      <c r="B17" s="122"/>
      <c r="C17" s="122"/>
      <c r="D17" s="66">
        <v>417.7589599123768</v>
      </c>
      <c r="E17" s="66">
        <v>446.20114684191304</v>
      </c>
      <c r="F17" s="66">
        <v>477.83062840452726</v>
      </c>
      <c r="G17" s="66">
        <v>509.4601099671413</v>
      </c>
      <c r="H17" s="66">
        <v>542.6832388462942</v>
      </c>
      <c r="I17" s="66">
        <v>572.7190730923695</v>
      </c>
      <c r="J17" s="4"/>
      <c r="K17" s="63"/>
      <c r="M17" s="75"/>
      <c r="N17" s="75"/>
    </row>
    <row r="18" spans="1:14" ht="12.75">
      <c r="A18" s="117" t="s">
        <v>37</v>
      </c>
      <c r="B18" s="122"/>
      <c r="C18" s="122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4"/>
      <c r="K18" s="63"/>
      <c r="M18" s="75"/>
      <c r="N18" s="75"/>
    </row>
    <row r="19" spans="1:14" ht="12.75">
      <c r="A19" s="117" t="s">
        <v>38</v>
      </c>
      <c r="B19" s="122"/>
      <c r="C19" s="122"/>
      <c r="D19" s="66">
        <v>310.0515</v>
      </c>
      <c r="E19" s="66">
        <v>361.72675</v>
      </c>
      <c r="F19" s="66">
        <v>413.402</v>
      </c>
      <c r="G19" s="66">
        <v>465.07725</v>
      </c>
      <c r="H19" s="66">
        <v>516.7524999999999</v>
      </c>
      <c r="I19" s="66">
        <v>568.42775</v>
      </c>
      <c r="J19" s="4"/>
      <c r="K19" s="63"/>
      <c r="M19" s="75"/>
      <c r="N19" s="75"/>
    </row>
    <row r="20" spans="1:14" ht="12.75">
      <c r="A20" s="117" t="s">
        <v>39</v>
      </c>
      <c r="B20" s="122"/>
      <c r="C20" s="122"/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4"/>
      <c r="K20" s="63"/>
      <c r="M20" s="75"/>
      <c r="N20" s="75"/>
    </row>
    <row r="21" spans="1:14" ht="12.75">
      <c r="A21" s="117" t="s">
        <v>40</v>
      </c>
      <c r="B21" s="122"/>
      <c r="C21" s="122"/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4"/>
      <c r="K21" s="63"/>
      <c r="M21" s="75"/>
      <c r="N21" s="75"/>
    </row>
    <row r="22" spans="1:14" ht="12.75">
      <c r="A22" s="117" t="s">
        <v>41</v>
      </c>
      <c r="B22" s="122"/>
      <c r="C22" s="122"/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4"/>
      <c r="K22" s="63"/>
      <c r="M22" s="75"/>
      <c r="N22" s="75"/>
    </row>
    <row r="23" spans="1:14" ht="12.75">
      <c r="A23" s="117" t="s">
        <v>42</v>
      </c>
      <c r="B23" s="122"/>
      <c r="C23" s="122"/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4"/>
      <c r="K23" s="63"/>
      <c r="M23" s="75"/>
      <c r="N23" s="75"/>
    </row>
    <row r="24" spans="1:14" ht="13.5" thickBot="1">
      <c r="A24" s="117" t="s">
        <v>43</v>
      </c>
      <c r="B24" s="122"/>
      <c r="C24" s="122"/>
      <c r="D24" s="66">
        <v>322.29581558539974</v>
      </c>
      <c r="E24" s="66">
        <v>344.2386072742004</v>
      </c>
      <c r="F24" s="66">
        <v>368.6403569312377</v>
      </c>
      <c r="G24" s="66">
        <v>393.0421065882749</v>
      </c>
      <c r="H24" s="66">
        <v>418.6733352294304</v>
      </c>
      <c r="I24" s="66">
        <v>441.8456059023494</v>
      </c>
      <c r="J24" s="4"/>
      <c r="K24" s="63"/>
      <c r="M24" s="75"/>
      <c r="N24" s="75"/>
    </row>
    <row r="25" spans="1:14" ht="26.25" customHeight="1" thickBot="1">
      <c r="A25" s="260" t="s">
        <v>44</v>
      </c>
      <c r="B25" s="261"/>
      <c r="C25" s="262"/>
      <c r="D25" s="67">
        <f aca="true" t="shared" si="1" ref="D25:I25">SUM(D9:D24)</f>
        <v>6461.263731497776</v>
      </c>
      <c r="E25" s="67">
        <f t="shared" si="1"/>
        <v>6901.164460116112</v>
      </c>
      <c r="F25" s="67">
        <f t="shared" si="1"/>
        <v>7390.361441335765</v>
      </c>
      <c r="G25" s="67">
        <f t="shared" si="1"/>
        <v>7879.558422555416</v>
      </c>
      <c r="H25" s="67">
        <f t="shared" si="1"/>
        <v>8393.403530075724</v>
      </c>
      <c r="I25" s="67">
        <f t="shared" si="1"/>
        <v>8857.95238499472</v>
      </c>
      <c r="J25" s="4"/>
      <c r="K25" s="63"/>
      <c r="M25" s="104"/>
      <c r="N25" s="104"/>
    </row>
    <row r="26" spans="1:11" ht="13.5" thickBot="1">
      <c r="A26" s="123"/>
      <c r="B26" s="124"/>
      <c r="C26" s="124"/>
      <c r="D26" s="68"/>
      <c r="E26" s="68"/>
      <c r="F26" s="68"/>
      <c r="G26" s="68"/>
      <c r="H26" s="68"/>
      <c r="I26" s="68"/>
      <c r="J26" s="4"/>
      <c r="K26" s="63"/>
    </row>
    <row r="27" spans="1:11" ht="13.5" thickBot="1">
      <c r="A27" s="263" t="s">
        <v>45</v>
      </c>
      <c r="B27" s="264"/>
      <c r="C27" s="265"/>
      <c r="D27" s="67">
        <v>2449.267781438091</v>
      </c>
      <c r="E27" s="67">
        <v>2449.267781438091</v>
      </c>
      <c r="F27" s="67">
        <v>2449.267781438091</v>
      </c>
      <c r="G27" s="67">
        <v>2449.267781438091</v>
      </c>
      <c r="H27" s="67">
        <v>2449.267781438091</v>
      </c>
      <c r="I27" s="67">
        <v>2449.267781438091</v>
      </c>
      <c r="K27" s="63"/>
    </row>
    <row r="28" spans="1:11" ht="13.5" thickBot="1">
      <c r="A28" s="123"/>
      <c r="B28" s="124"/>
      <c r="C28" s="124"/>
      <c r="D28" s="68"/>
      <c r="E28" s="68"/>
      <c r="F28" s="68"/>
      <c r="G28" s="68"/>
      <c r="H28" s="68"/>
      <c r="I28" s="68"/>
      <c r="K28" s="63"/>
    </row>
    <row r="29" spans="1:11" ht="27" customHeight="1" thickBot="1">
      <c r="A29" s="260" t="s">
        <v>46</v>
      </c>
      <c r="B29" s="261"/>
      <c r="C29" s="262"/>
      <c r="D29" s="67">
        <f aca="true" t="shared" si="2" ref="D29:I29">D25+D27</f>
        <v>8910.531512935866</v>
      </c>
      <c r="E29" s="67">
        <f t="shared" si="2"/>
        <v>9350.432241554203</v>
      </c>
      <c r="F29" s="67">
        <f t="shared" si="2"/>
        <v>9839.629222773856</v>
      </c>
      <c r="G29" s="67">
        <f t="shared" si="2"/>
        <v>10328.826203993507</v>
      </c>
      <c r="H29" s="67">
        <f t="shared" si="2"/>
        <v>10842.671311513815</v>
      </c>
      <c r="I29" s="67">
        <f t="shared" si="2"/>
        <v>11307.220166432811</v>
      </c>
      <c r="J29" s="4"/>
      <c r="K29" s="63"/>
    </row>
    <row r="30" spans="1:11" ht="13.5" thickBot="1">
      <c r="A30" s="118"/>
      <c r="B30" s="119"/>
      <c r="C30" s="119"/>
      <c r="D30" s="70"/>
      <c r="E30" s="70"/>
      <c r="F30" s="70"/>
      <c r="G30" s="70"/>
      <c r="H30" s="70"/>
      <c r="I30" s="70"/>
      <c r="J30" s="4"/>
      <c r="K30" s="63"/>
    </row>
    <row r="31" spans="1:11" ht="25.5" customHeight="1" thickBot="1">
      <c r="A31" s="260" t="s">
        <v>47</v>
      </c>
      <c r="B31" s="279"/>
      <c r="C31" s="280"/>
      <c r="D31" s="67">
        <f aca="true" t="shared" si="3" ref="D31:I31">D29/D5</f>
        <v>2970.177170978622</v>
      </c>
      <c r="E31" s="67">
        <f t="shared" si="3"/>
        <v>2671.5520690154867</v>
      </c>
      <c r="F31" s="67">
        <f t="shared" si="3"/>
        <v>2459.907305693464</v>
      </c>
      <c r="G31" s="67">
        <f t="shared" si="3"/>
        <v>2295.294711998557</v>
      </c>
      <c r="H31" s="67">
        <f t="shared" si="3"/>
        <v>2168.534262302763</v>
      </c>
      <c r="I31" s="67">
        <f t="shared" si="3"/>
        <v>2055.8582120786928</v>
      </c>
      <c r="J31" s="4"/>
      <c r="K31" s="63"/>
    </row>
    <row r="32" spans="1:11" ht="13.5" thickBot="1">
      <c r="A32" s="109"/>
      <c r="B32" s="110"/>
      <c r="C32" s="110"/>
      <c r="D32" s="70"/>
      <c r="E32" s="70"/>
      <c r="F32" s="70"/>
      <c r="G32" s="70"/>
      <c r="H32" s="70"/>
      <c r="I32" s="70"/>
      <c r="J32" s="4"/>
      <c r="K32" s="63"/>
    </row>
    <row r="33" spans="1:11" ht="13.5" thickBot="1">
      <c r="A33" s="112" t="s">
        <v>48</v>
      </c>
      <c r="B33" s="113"/>
      <c r="C33" s="113"/>
      <c r="D33" s="67">
        <f>'Pryse + Sensatiwiteitsanali'!D4</f>
        <v>261</v>
      </c>
      <c r="E33" s="67">
        <f>$D$33</f>
        <v>261</v>
      </c>
      <c r="F33" s="67">
        <f>$D$33</f>
        <v>261</v>
      </c>
      <c r="G33" s="67">
        <f>$D$33</f>
        <v>261</v>
      </c>
      <c r="H33" s="67">
        <f>$D$33</f>
        <v>261</v>
      </c>
      <c r="I33" s="67">
        <f>$D$33</f>
        <v>261</v>
      </c>
      <c r="J33" s="4"/>
      <c r="K33" s="63"/>
    </row>
    <row r="34" spans="1:11" ht="13.5" thickBot="1">
      <c r="A34" s="109"/>
      <c r="B34" s="110"/>
      <c r="C34" s="110"/>
      <c r="D34" s="70"/>
      <c r="E34" s="70"/>
      <c r="F34" s="70"/>
      <c r="G34" s="70"/>
      <c r="H34" s="70"/>
      <c r="I34" s="70"/>
      <c r="J34" s="4"/>
      <c r="K34" s="63"/>
    </row>
    <row r="35" spans="1:11" ht="27.75" customHeight="1" thickBot="1">
      <c r="A35" s="281" t="s">
        <v>49</v>
      </c>
      <c r="B35" s="282"/>
      <c r="C35" s="283"/>
      <c r="D35" s="69">
        <f aca="true" t="shared" si="4" ref="D35:I35">D31+D33</f>
        <v>3231.177170978622</v>
      </c>
      <c r="E35" s="69">
        <f t="shared" si="4"/>
        <v>2932.5520690154867</v>
      </c>
      <c r="F35" s="69">
        <f t="shared" si="4"/>
        <v>2720.907305693464</v>
      </c>
      <c r="G35" s="69">
        <f t="shared" si="4"/>
        <v>2556.294711998557</v>
      </c>
      <c r="H35" s="69">
        <f t="shared" si="4"/>
        <v>2429.534262302763</v>
      </c>
      <c r="I35" s="69">
        <f t="shared" si="4"/>
        <v>2316.8582120786928</v>
      </c>
      <c r="J35" s="4"/>
      <c r="K35" s="63"/>
    </row>
    <row r="36" spans="1:11" ht="13.5" thickBot="1">
      <c r="A36" s="107" t="s">
        <v>50</v>
      </c>
      <c r="B36" s="108"/>
      <c r="C36" s="7"/>
      <c r="D36" s="69">
        <f>'Pryse + Sensatiwiteitsanali'!B4</f>
        <v>2700</v>
      </c>
      <c r="E36" s="69">
        <f>$D$36</f>
        <v>2700</v>
      </c>
      <c r="F36" s="69">
        <f>$D$36</f>
        <v>2700</v>
      </c>
      <c r="G36" s="69">
        <f>$D$36</f>
        <v>2700</v>
      </c>
      <c r="H36" s="69">
        <f>$D$36</f>
        <v>2700</v>
      </c>
      <c r="I36" s="69">
        <f>$D$36</f>
        <v>2700</v>
      </c>
      <c r="J36" s="17"/>
      <c r="K36" s="63"/>
    </row>
    <row r="37" spans="6:10" ht="12.75">
      <c r="F37" s="99"/>
      <c r="G37" s="99"/>
      <c r="H37" s="99"/>
      <c r="I37" s="99"/>
      <c r="J37" s="98"/>
    </row>
    <row r="38" spans="1:10" ht="13.5" thickBot="1">
      <c r="A38" s="4"/>
      <c r="B38" s="32"/>
      <c r="C38" s="4"/>
      <c r="D38" s="4"/>
      <c r="E38" s="4"/>
      <c r="F38" s="4"/>
      <c r="G38" s="4"/>
      <c r="H38" s="4"/>
      <c r="I38" s="17"/>
      <c r="J38" s="4"/>
    </row>
    <row r="39" spans="1:10" ht="12.75">
      <c r="A39" s="1" t="s">
        <v>5</v>
      </c>
      <c r="B39" s="33"/>
      <c r="C39" s="34"/>
      <c r="D39" s="34"/>
      <c r="E39" s="34"/>
      <c r="F39" s="34"/>
      <c r="G39" s="34"/>
      <c r="H39" s="35"/>
      <c r="I39" s="17"/>
      <c r="J39" s="4"/>
    </row>
    <row r="40" spans="1:10" ht="12.75">
      <c r="A40" s="36" t="s">
        <v>1</v>
      </c>
      <c r="B40" s="37"/>
      <c r="C40" s="38"/>
      <c r="D40" s="39"/>
      <c r="E40" s="39"/>
      <c r="F40" s="39"/>
      <c r="G40" s="39"/>
      <c r="H40" s="40"/>
      <c r="I40" s="17"/>
      <c r="J40" s="4"/>
    </row>
    <row r="41" spans="1:16" ht="13.5" thickBot="1">
      <c r="A41" s="41" t="s">
        <v>0</v>
      </c>
      <c r="B41" s="42"/>
      <c r="C41" s="43"/>
      <c r="D41" s="43"/>
      <c r="E41" s="43"/>
      <c r="F41" s="43"/>
      <c r="G41" s="44"/>
      <c r="H41" s="45"/>
      <c r="I41" s="17"/>
      <c r="J41" s="4"/>
      <c r="P41" s="71"/>
    </row>
    <row r="42" spans="1:10" ht="13.5" thickBot="1">
      <c r="A42" s="46"/>
      <c r="B42" s="11"/>
      <c r="C42" s="47" t="s">
        <v>2</v>
      </c>
      <c r="D42" s="48"/>
      <c r="E42" s="48"/>
      <c r="F42" s="48"/>
      <c r="G42" s="49"/>
      <c r="H42" s="50"/>
      <c r="I42" s="17"/>
      <c r="J42" s="4"/>
    </row>
    <row r="43" spans="1:10" ht="13.5" thickBot="1">
      <c r="A43" s="5"/>
      <c r="B43" s="32"/>
      <c r="C43" s="4"/>
      <c r="D43" s="4"/>
      <c r="E43" s="4"/>
      <c r="F43" s="4"/>
      <c r="G43" s="4"/>
      <c r="H43" s="51"/>
      <c r="I43" s="17"/>
      <c r="J43" s="4"/>
    </row>
    <row r="44" spans="1:10" ht="13.5" thickBot="1">
      <c r="A44" s="5"/>
      <c r="B44" s="52"/>
      <c r="C44" s="53">
        <v>2539</v>
      </c>
      <c r="D44" s="53">
        <v>2639</v>
      </c>
      <c r="E44" s="54">
        <v>2739</v>
      </c>
      <c r="F44" s="53">
        <v>2839</v>
      </c>
      <c r="G44" s="55">
        <v>2939</v>
      </c>
      <c r="H44" s="51"/>
      <c r="I44" s="17"/>
      <c r="J44" s="4"/>
    </row>
    <row r="45" spans="1:10" ht="12.75">
      <c r="A45" s="5"/>
      <c r="B45" s="56">
        <v>3</v>
      </c>
      <c r="C45" s="79">
        <v>-1293.531512935866</v>
      </c>
      <c r="D45" s="80">
        <v>-993.531512935866</v>
      </c>
      <c r="E45" s="80">
        <v>-693.531512935866</v>
      </c>
      <c r="F45" s="80">
        <v>-393.531512935866</v>
      </c>
      <c r="G45" s="81">
        <v>-93.53151293586598</v>
      </c>
      <c r="H45" s="51"/>
      <c r="I45" s="17"/>
      <c r="J45" s="4"/>
    </row>
    <row r="46" spans="1:10" ht="12.75">
      <c r="A46" s="5"/>
      <c r="B46" s="57"/>
      <c r="C46" s="82"/>
      <c r="D46" s="75"/>
      <c r="E46" s="75"/>
      <c r="F46" s="75"/>
      <c r="G46" s="76"/>
      <c r="H46" s="51"/>
      <c r="I46" s="17"/>
      <c r="J46" s="4"/>
    </row>
    <row r="47" spans="1:10" ht="12.75">
      <c r="A47" s="5"/>
      <c r="B47" s="56">
        <v>3.5</v>
      </c>
      <c r="C47" s="82">
        <v>-463.93224155420285</v>
      </c>
      <c r="D47" s="75">
        <v>-113.93224155420285</v>
      </c>
      <c r="E47" s="75">
        <v>236.06775844579715</v>
      </c>
      <c r="F47" s="75">
        <v>586.0677584457972</v>
      </c>
      <c r="G47" s="76">
        <v>936.0677584457972</v>
      </c>
      <c r="H47" s="51"/>
      <c r="I47" s="17"/>
      <c r="J47" s="4"/>
    </row>
    <row r="48" spans="1:10" ht="13.5" thickBot="1">
      <c r="A48" s="58"/>
      <c r="B48" s="57"/>
      <c r="C48" s="82"/>
      <c r="D48" s="75"/>
      <c r="E48" s="75"/>
      <c r="F48" s="75"/>
      <c r="G48" s="76"/>
      <c r="H48" s="51"/>
      <c r="I48" s="17"/>
      <c r="J48" s="4"/>
    </row>
    <row r="49" spans="1:10" ht="13.5" thickBot="1">
      <c r="A49" s="59" t="s">
        <v>4</v>
      </c>
      <c r="B49" s="60">
        <v>4</v>
      </c>
      <c r="C49" s="82">
        <v>316.3707772261441</v>
      </c>
      <c r="D49" s="75">
        <v>716.3707772261441</v>
      </c>
      <c r="E49" s="84">
        <v>1116.3707772261441</v>
      </c>
      <c r="F49" s="75">
        <v>1516.3707772261441</v>
      </c>
      <c r="G49" s="76">
        <v>1916.3707772261441</v>
      </c>
      <c r="H49" s="51"/>
      <c r="I49" s="17"/>
      <c r="J49" s="4"/>
    </row>
    <row r="50" spans="1:10" ht="12.75">
      <c r="A50" s="5"/>
      <c r="B50" s="57"/>
      <c r="C50" s="82"/>
      <c r="D50" s="75"/>
      <c r="E50" s="75"/>
      <c r="F50" s="75"/>
      <c r="G50" s="76"/>
      <c r="H50" s="51"/>
      <c r="I50" s="17"/>
      <c r="J50" s="4"/>
    </row>
    <row r="51" spans="1:10" ht="12.75">
      <c r="A51" s="5"/>
      <c r="B51" s="56">
        <v>4.5</v>
      </c>
      <c r="C51" s="82">
        <v>1096.673796006493</v>
      </c>
      <c r="D51" s="75">
        <v>1546.673796006493</v>
      </c>
      <c r="E51" s="75">
        <v>1996.673796006493</v>
      </c>
      <c r="F51" s="75">
        <v>2446.673796006493</v>
      </c>
      <c r="G51" s="76">
        <v>2896.673796006493</v>
      </c>
      <c r="H51" s="51"/>
      <c r="I51" s="17"/>
      <c r="J51" s="4"/>
    </row>
    <row r="52" spans="1:10" ht="12.75">
      <c r="A52" s="5"/>
      <c r="B52" s="57"/>
      <c r="C52" s="82"/>
      <c r="D52" s="75"/>
      <c r="E52" s="75"/>
      <c r="F52" s="75"/>
      <c r="G52" s="76"/>
      <c r="H52" s="51"/>
      <c r="I52" s="17"/>
      <c r="J52" s="4"/>
    </row>
    <row r="53" spans="1:10" ht="12.75">
      <c r="A53" s="5"/>
      <c r="B53" s="56">
        <v>5</v>
      </c>
      <c r="C53" s="82">
        <v>1852.3286884861845</v>
      </c>
      <c r="D53" s="75">
        <v>2352.3286884861845</v>
      </c>
      <c r="E53" s="75">
        <v>2852.3286884861845</v>
      </c>
      <c r="F53" s="75">
        <v>3352.3286884861845</v>
      </c>
      <c r="G53" s="76">
        <v>3852.3286884861845</v>
      </c>
      <c r="H53" s="51"/>
      <c r="I53" s="17"/>
      <c r="J53" s="4"/>
    </row>
    <row r="54" spans="1:10" ht="12.75">
      <c r="A54" s="5"/>
      <c r="B54" s="57"/>
      <c r="C54" s="82"/>
      <c r="D54" s="75"/>
      <c r="E54" s="75"/>
      <c r="F54" s="75"/>
      <c r="G54" s="76"/>
      <c r="H54" s="51"/>
      <c r="I54" s="17"/>
      <c r="J54" s="4"/>
    </row>
    <row r="55" spans="1:9" ht="13.5" thickBot="1">
      <c r="A55" s="5"/>
      <c r="B55" s="61">
        <v>5.5</v>
      </c>
      <c r="C55" s="86">
        <v>2657.2798335671887</v>
      </c>
      <c r="D55" s="87">
        <v>3207.2798335671887</v>
      </c>
      <c r="E55" s="87">
        <v>3757.2798335671887</v>
      </c>
      <c r="F55" s="87">
        <v>4307.279833567189</v>
      </c>
      <c r="G55" s="88">
        <v>4857.279833567189</v>
      </c>
      <c r="H55" s="51"/>
      <c r="I55" s="17"/>
    </row>
    <row r="56" spans="1:8" ht="13.5" thickBot="1">
      <c r="A56" s="62"/>
      <c r="B56" s="13"/>
      <c r="C56" s="13"/>
      <c r="D56" s="13"/>
      <c r="E56" s="13"/>
      <c r="F56" s="13"/>
      <c r="G56" s="13"/>
      <c r="H56" s="6"/>
    </row>
    <row r="57" spans="1:10" ht="15">
      <c r="A57" s="132" t="s">
        <v>55</v>
      </c>
      <c r="B57" s="133"/>
      <c r="C57" s="133"/>
      <c r="D57" s="133"/>
      <c r="E57" s="133"/>
      <c r="F57" s="133"/>
      <c r="G57" s="133"/>
      <c r="H57" s="134"/>
      <c r="I57" s="131"/>
      <c r="J57" s="131"/>
    </row>
    <row r="58" spans="1:10" ht="15">
      <c r="A58" s="135" t="s">
        <v>56</v>
      </c>
      <c r="B58" s="136"/>
      <c r="C58" s="136"/>
      <c r="D58" s="136"/>
      <c r="E58" s="136"/>
      <c r="F58" s="136"/>
      <c r="G58" s="136"/>
      <c r="H58" s="137"/>
      <c r="I58" s="131"/>
      <c r="J58" s="131"/>
    </row>
    <row r="59" spans="1:10" ht="15.75" thickBot="1">
      <c r="A59" s="138" t="s">
        <v>57</v>
      </c>
      <c r="B59" s="139"/>
      <c r="C59" s="139"/>
      <c r="D59" s="139"/>
      <c r="E59" s="139"/>
      <c r="F59" s="139"/>
      <c r="G59" s="139"/>
      <c r="H59" s="140"/>
      <c r="I59" s="131"/>
      <c r="J59" s="131"/>
    </row>
    <row r="60" spans="1:8" ht="12.75">
      <c r="A60" s="267" t="s">
        <v>58</v>
      </c>
      <c r="B60" s="268"/>
      <c r="C60" s="268"/>
      <c r="D60" s="268"/>
      <c r="E60" s="268"/>
      <c r="F60" s="268"/>
      <c r="G60" s="268"/>
      <c r="H60" s="269"/>
    </row>
    <row r="61" spans="1:8" ht="12.75">
      <c r="A61" s="270"/>
      <c r="B61" s="271"/>
      <c r="C61" s="271"/>
      <c r="D61" s="271"/>
      <c r="E61" s="271"/>
      <c r="F61" s="271"/>
      <c r="G61" s="271"/>
      <c r="H61" s="272"/>
    </row>
    <row r="62" spans="1:8" ht="12.75">
      <c r="A62" s="270"/>
      <c r="B62" s="271"/>
      <c r="C62" s="271"/>
      <c r="D62" s="271"/>
      <c r="E62" s="271"/>
      <c r="F62" s="271"/>
      <c r="G62" s="271"/>
      <c r="H62" s="272"/>
    </row>
    <row r="63" spans="1:8" ht="13.5" thickBot="1">
      <c r="A63" s="273"/>
      <c r="B63" s="274"/>
      <c r="C63" s="274"/>
      <c r="D63" s="274"/>
      <c r="E63" s="274"/>
      <c r="F63" s="274"/>
      <c r="G63" s="274"/>
      <c r="H63" s="275"/>
    </row>
  </sheetData>
  <sheetProtection/>
  <mergeCells count="11">
    <mergeCell ref="A1:D1"/>
    <mergeCell ref="E1:G1"/>
    <mergeCell ref="A31:C31"/>
    <mergeCell ref="A35:C35"/>
    <mergeCell ref="A3:C3"/>
    <mergeCell ref="A8:C8"/>
    <mergeCell ref="A25:C25"/>
    <mergeCell ref="A27:C27"/>
    <mergeCell ref="A29:C29"/>
    <mergeCell ref="M7:O7"/>
    <mergeCell ref="A60:H63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63" r:id="rId2"/>
  <headerFooter alignWithMargins="0">
    <oddHeader>&amp;C&amp;F</oddHead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15" width="12.7109375" style="2" hidden="1" customWidth="1"/>
    <col min="16" max="26" width="12.7109375" style="2" customWidth="1"/>
    <col min="27" max="16384" width="9.140625" style="2" customWidth="1"/>
  </cols>
  <sheetData>
    <row r="1" spans="1:10" s="4" customFormat="1" ht="36" customHeight="1" thickBot="1">
      <c r="A1" s="276" t="s">
        <v>16</v>
      </c>
      <c r="B1" s="277"/>
      <c r="C1" s="277"/>
      <c r="D1" s="277"/>
      <c r="E1" s="278" t="s">
        <v>15</v>
      </c>
      <c r="F1" s="278"/>
      <c r="G1" s="278"/>
      <c r="H1" s="3"/>
      <c r="I1" s="18"/>
      <c r="J1" s="17"/>
    </row>
    <row r="2" spans="1:10" ht="16.5" thickBot="1">
      <c r="A2" s="19"/>
      <c r="B2" s="20"/>
      <c r="C2" s="21"/>
      <c r="D2" s="21"/>
      <c r="E2" s="13"/>
      <c r="F2" s="13"/>
      <c r="G2" s="13"/>
      <c r="H2" s="13"/>
      <c r="I2" s="6"/>
      <c r="J2" s="4"/>
    </row>
    <row r="3" spans="1:11" ht="25.5" customHeight="1" thickBot="1">
      <c r="A3" s="281" t="s">
        <v>24</v>
      </c>
      <c r="B3" s="282"/>
      <c r="C3" s="282"/>
      <c r="D3" s="64"/>
      <c r="E3" s="77">
        <f>'Pryse + Sensatiwiteitsanali'!B24</f>
        <v>2439</v>
      </c>
      <c r="F3" s="64" t="s">
        <v>3</v>
      </c>
      <c r="G3" s="22"/>
      <c r="H3" s="22"/>
      <c r="I3" s="7"/>
      <c r="K3" s="4"/>
    </row>
    <row r="4" spans="1:11" ht="13.5" thickBot="1">
      <c r="A4" s="111"/>
      <c r="B4" s="9"/>
      <c r="C4" s="9"/>
      <c r="D4" s="8"/>
      <c r="E4" s="12"/>
      <c r="F4" s="23"/>
      <c r="G4" s="9"/>
      <c r="H4" s="24"/>
      <c r="I4" s="24"/>
      <c r="J4" s="4"/>
      <c r="K4" s="17"/>
    </row>
    <row r="5" spans="1:11" ht="13.5" thickBot="1">
      <c r="A5" s="115" t="s">
        <v>25</v>
      </c>
      <c r="B5" s="9"/>
      <c r="C5" s="9"/>
      <c r="D5" s="97">
        <v>5</v>
      </c>
      <c r="E5" s="97">
        <v>5.75</v>
      </c>
      <c r="F5" s="97">
        <v>6.5</v>
      </c>
      <c r="G5" s="97">
        <v>7.25</v>
      </c>
      <c r="H5" s="97">
        <v>8</v>
      </c>
      <c r="I5" s="97">
        <v>8.75</v>
      </c>
      <c r="J5" s="4"/>
      <c r="K5" s="17"/>
    </row>
    <row r="6" spans="1:11" ht="13.5" thickBot="1">
      <c r="A6" s="116" t="s">
        <v>26</v>
      </c>
      <c r="B6" s="113"/>
      <c r="C6" s="114"/>
      <c r="D6" s="73">
        <f aca="true" t="shared" si="0" ref="D6:I6">$E$3*D5</f>
        <v>12195</v>
      </c>
      <c r="E6" s="73">
        <f t="shared" si="0"/>
        <v>14024.25</v>
      </c>
      <c r="F6" s="73">
        <f t="shared" si="0"/>
        <v>15853.5</v>
      </c>
      <c r="G6" s="73">
        <f t="shared" si="0"/>
        <v>17682.75</v>
      </c>
      <c r="H6" s="73">
        <f t="shared" si="0"/>
        <v>19512</v>
      </c>
      <c r="I6" s="73">
        <f t="shared" si="0"/>
        <v>21341.25</v>
      </c>
      <c r="J6" s="4"/>
      <c r="K6" s="17"/>
    </row>
    <row r="7" spans="1:15" ht="15.75" thickBot="1">
      <c r="A7" s="109"/>
      <c r="B7" s="110"/>
      <c r="C7" s="110"/>
      <c r="D7" s="26"/>
      <c r="E7" s="26"/>
      <c r="F7" s="26"/>
      <c r="G7" s="26"/>
      <c r="H7" s="26"/>
      <c r="I7" s="26"/>
      <c r="J7" s="4"/>
      <c r="K7" s="17"/>
      <c r="M7" s="266" t="s">
        <v>124</v>
      </c>
      <c r="N7" s="266"/>
      <c r="O7" s="266"/>
    </row>
    <row r="8" spans="1:15" ht="15.75" thickBot="1">
      <c r="A8" s="257" t="s">
        <v>27</v>
      </c>
      <c r="B8" s="258"/>
      <c r="C8" s="259"/>
      <c r="D8" s="27"/>
      <c r="E8" s="27"/>
      <c r="F8" s="27"/>
      <c r="G8" s="27"/>
      <c r="H8" s="27"/>
      <c r="I8" s="27"/>
      <c r="J8" s="4"/>
      <c r="K8" s="17"/>
      <c r="M8" s="238" t="s">
        <v>120</v>
      </c>
      <c r="N8" s="238" t="s">
        <v>121</v>
      </c>
      <c r="O8" s="238" t="s">
        <v>122</v>
      </c>
    </row>
    <row r="9" spans="1:15" ht="15">
      <c r="A9" s="120" t="s">
        <v>28</v>
      </c>
      <c r="B9" s="121"/>
      <c r="C9" s="121"/>
      <c r="D9" s="65">
        <v>982.125</v>
      </c>
      <c r="E9" s="65">
        <v>1025.775</v>
      </c>
      <c r="F9" s="65">
        <v>1069.425</v>
      </c>
      <c r="G9" s="65">
        <v>1113.075</v>
      </c>
      <c r="H9" s="65">
        <v>1113.075</v>
      </c>
      <c r="I9" s="65">
        <v>1134.9</v>
      </c>
      <c r="J9" s="4"/>
      <c r="K9" s="17"/>
      <c r="M9" s="239">
        <f>D5</f>
        <v>5</v>
      </c>
      <c r="N9" s="239">
        <f>D25</f>
        <v>8314.873526796608</v>
      </c>
      <c r="O9" s="239">
        <f>D27</f>
        <v>2598.215781438091</v>
      </c>
    </row>
    <row r="10" spans="1:15" ht="15">
      <c r="A10" s="117" t="s">
        <v>29</v>
      </c>
      <c r="B10" s="122"/>
      <c r="C10" s="122"/>
      <c r="D10" s="66">
        <v>2575</v>
      </c>
      <c r="E10" s="66">
        <v>2946.25</v>
      </c>
      <c r="F10" s="66">
        <v>3317.5</v>
      </c>
      <c r="G10" s="66">
        <v>3688.75</v>
      </c>
      <c r="H10" s="66">
        <v>4060</v>
      </c>
      <c r="I10" s="66">
        <v>4431.25</v>
      </c>
      <c r="J10" s="4"/>
      <c r="K10" s="17"/>
      <c r="M10" s="239">
        <f>E5</f>
        <v>5.75</v>
      </c>
      <c r="N10" s="239">
        <f>E25</f>
        <v>8938.678076115932</v>
      </c>
      <c r="O10" s="239">
        <f>E27</f>
        <v>2598.215781438091</v>
      </c>
    </row>
    <row r="11" spans="1:15" ht="15">
      <c r="A11" s="117" t="s">
        <v>30</v>
      </c>
      <c r="B11" s="122"/>
      <c r="C11" s="122"/>
      <c r="D11" s="66">
        <v>530</v>
      </c>
      <c r="E11" s="66">
        <v>530</v>
      </c>
      <c r="F11" s="66">
        <v>530</v>
      </c>
      <c r="G11" s="66">
        <v>530</v>
      </c>
      <c r="H11" s="66">
        <v>530</v>
      </c>
      <c r="I11" s="66">
        <v>530</v>
      </c>
      <c r="J11" s="4"/>
      <c r="K11" s="17"/>
      <c r="M11" s="239">
        <f>F5</f>
        <v>6.5</v>
      </c>
      <c r="N11" s="239">
        <f>F25</f>
        <v>9562.482625435252</v>
      </c>
      <c r="O11" s="239">
        <f>F27</f>
        <v>2598.215781438091</v>
      </c>
    </row>
    <row r="12" spans="1:15" ht="15">
      <c r="A12" s="117" t="s">
        <v>31</v>
      </c>
      <c r="B12" s="122"/>
      <c r="C12" s="122"/>
      <c r="D12" s="66">
        <v>1026.9212559999999</v>
      </c>
      <c r="E12" s="66">
        <v>1042.208756</v>
      </c>
      <c r="F12" s="66">
        <v>1057.496256</v>
      </c>
      <c r="G12" s="66">
        <v>1072.7837559999998</v>
      </c>
      <c r="H12" s="66">
        <v>1088.071256</v>
      </c>
      <c r="I12" s="66">
        <v>1103.358756</v>
      </c>
      <c r="J12" s="4"/>
      <c r="K12" s="17"/>
      <c r="M12" s="239">
        <f>G5</f>
        <v>7.25</v>
      </c>
      <c r="N12" s="239">
        <f>G25</f>
        <v>10186.287174754576</v>
      </c>
      <c r="O12" s="239">
        <f>G27</f>
        <v>2598.215781438091</v>
      </c>
    </row>
    <row r="13" spans="1:15" ht="15">
      <c r="A13" s="117" t="s">
        <v>32</v>
      </c>
      <c r="B13" s="122"/>
      <c r="C13" s="122"/>
      <c r="D13" s="66">
        <v>756.6603</v>
      </c>
      <c r="E13" s="66">
        <v>761.2578000000001</v>
      </c>
      <c r="F13" s="66">
        <v>765.8552999999999</v>
      </c>
      <c r="G13" s="66">
        <v>770.4528</v>
      </c>
      <c r="H13" s="66">
        <v>775.0503000000001</v>
      </c>
      <c r="I13" s="66">
        <v>779.6478</v>
      </c>
      <c r="J13" s="4"/>
      <c r="K13" s="17"/>
      <c r="M13" s="239">
        <f>H5</f>
        <v>8</v>
      </c>
      <c r="N13" s="239">
        <f>H25</f>
        <v>10760.795471472582</v>
      </c>
      <c r="O13" s="239">
        <f>H27</f>
        <v>2598.215781438091</v>
      </c>
    </row>
    <row r="14" spans="1:15" ht="15">
      <c r="A14" s="117" t="s">
        <v>33</v>
      </c>
      <c r="B14" s="122"/>
      <c r="C14" s="122"/>
      <c r="D14" s="66">
        <v>550</v>
      </c>
      <c r="E14" s="66">
        <v>550</v>
      </c>
      <c r="F14" s="66">
        <v>550</v>
      </c>
      <c r="G14" s="66">
        <v>550</v>
      </c>
      <c r="H14" s="66">
        <v>550</v>
      </c>
      <c r="I14" s="66">
        <v>550</v>
      </c>
      <c r="J14" s="4"/>
      <c r="K14" s="17"/>
      <c r="M14" s="239">
        <f>I5</f>
        <v>8.75</v>
      </c>
      <c r="N14" s="239">
        <f>I25</f>
        <v>11359.95189449125</v>
      </c>
      <c r="O14" s="239">
        <f>I27</f>
        <v>2598.215781438091</v>
      </c>
    </row>
    <row r="15" spans="1:11" ht="12.75">
      <c r="A15" s="117" t="s">
        <v>34</v>
      </c>
      <c r="B15" s="122"/>
      <c r="C15" s="122"/>
      <c r="D15" s="66">
        <v>158</v>
      </c>
      <c r="E15" s="66">
        <v>158</v>
      </c>
      <c r="F15" s="66">
        <v>158</v>
      </c>
      <c r="G15" s="66">
        <v>158</v>
      </c>
      <c r="H15" s="66">
        <v>158</v>
      </c>
      <c r="I15" s="66">
        <v>158</v>
      </c>
      <c r="J15" s="4"/>
      <c r="K15" s="17"/>
    </row>
    <row r="16" spans="1:11" ht="12.75">
      <c r="A16" s="117" t="s">
        <v>35</v>
      </c>
      <c r="B16" s="122"/>
      <c r="C16" s="122"/>
      <c r="D16" s="66">
        <v>267.0525</v>
      </c>
      <c r="E16" s="66">
        <v>307.110375</v>
      </c>
      <c r="F16" s="66">
        <v>347.16825</v>
      </c>
      <c r="G16" s="66">
        <v>387.226125</v>
      </c>
      <c r="H16" s="66">
        <v>427.284</v>
      </c>
      <c r="I16" s="66">
        <v>467.341875</v>
      </c>
      <c r="J16" s="4"/>
      <c r="K16" s="17"/>
    </row>
    <row r="17" spans="1:11" ht="12.75">
      <c r="A17" s="117" t="s">
        <v>36</v>
      </c>
      <c r="B17" s="122"/>
      <c r="C17" s="122"/>
      <c r="D17" s="66">
        <v>537.6058091274186</v>
      </c>
      <c r="E17" s="66">
        <v>577.9384670317634</v>
      </c>
      <c r="F17" s="66">
        <v>618.2711249361081</v>
      </c>
      <c r="G17" s="66">
        <v>658.6037828404526</v>
      </c>
      <c r="H17" s="66">
        <v>695.7491461117196</v>
      </c>
      <c r="I17" s="66">
        <v>734.4881566995255</v>
      </c>
      <c r="J17" s="4"/>
      <c r="K17" s="17"/>
    </row>
    <row r="18" spans="1:11" ht="12.75">
      <c r="A18" s="117" t="s">
        <v>37</v>
      </c>
      <c r="B18" s="122"/>
      <c r="C18" s="122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4"/>
      <c r="K18" s="17"/>
    </row>
    <row r="19" spans="1:11" ht="12.75">
      <c r="A19" s="117" t="s">
        <v>38</v>
      </c>
      <c r="B19" s="122"/>
      <c r="C19" s="122"/>
      <c r="D19" s="66">
        <v>516.7524999999999</v>
      </c>
      <c r="E19" s="66">
        <v>594.265375</v>
      </c>
      <c r="F19" s="66">
        <v>671.77825</v>
      </c>
      <c r="G19" s="66">
        <v>749.291125</v>
      </c>
      <c r="H19" s="66">
        <v>826.804</v>
      </c>
      <c r="I19" s="66">
        <v>904.316875</v>
      </c>
      <c r="J19" s="4"/>
      <c r="K19" s="17"/>
    </row>
    <row r="20" spans="1:11" ht="12.75">
      <c r="A20" s="117" t="s">
        <v>39</v>
      </c>
      <c r="B20" s="122"/>
      <c r="C20" s="122"/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4"/>
      <c r="K20" s="17"/>
    </row>
    <row r="21" spans="1:11" ht="12.75">
      <c r="A21" s="117" t="s">
        <v>40</v>
      </c>
      <c r="B21" s="122"/>
      <c r="C21" s="122"/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4"/>
      <c r="K21" s="17"/>
    </row>
    <row r="22" spans="1:11" ht="12.75">
      <c r="A22" s="117" t="s">
        <v>41</v>
      </c>
      <c r="B22" s="122"/>
      <c r="C22" s="122"/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4"/>
      <c r="K22" s="17"/>
    </row>
    <row r="23" spans="1:11" ht="12.75">
      <c r="A23" s="117" t="s">
        <v>42</v>
      </c>
      <c r="B23" s="122"/>
      <c r="C23" s="122"/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4"/>
      <c r="K23" s="17"/>
    </row>
    <row r="24" spans="1:11" ht="13.5" thickBot="1">
      <c r="A24" s="117" t="s">
        <v>43</v>
      </c>
      <c r="B24" s="122"/>
      <c r="C24" s="122"/>
      <c r="D24" s="66">
        <v>414.7561616691894</v>
      </c>
      <c r="E24" s="66">
        <v>445.8723030841675</v>
      </c>
      <c r="F24" s="66">
        <v>476.98844449914554</v>
      </c>
      <c r="G24" s="66">
        <v>508.1045859141238</v>
      </c>
      <c r="H24" s="66">
        <v>536.7617693608652</v>
      </c>
      <c r="I24" s="66">
        <v>566.648431791725</v>
      </c>
      <c r="J24" s="4"/>
      <c r="K24" s="17"/>
    </row>
    <row r="25" spans="1:11" ht="25.5" customHeight="1" thickBot="1">
      <c r="A25" s="260" t="s">
        <v>44</v>
      </c>
      <c r="B25" s="261"/>
      <c r="C25" s="262"/>
      <c r="D25" s="67">
        <f aca="true" t="shared" si="1" ref="D25:I25">SUM(D9:D24)</f>
        <v>8314.873526796608</v>
      </c>
      <c r="E25" s="67">
        <f t="shared" si="1"/>
        <v>8938.678076115932</v>
      </c>
      <c r="F25" s="67">
        <f t="shared" si="1"/>
        <v>9562.482625435252</v>
      </c>
      <c r="G25" s="67">
        <f t="shared" si="1"/>
        <v>10186.287174754576</v>
      </c>
      <c r="H25" s="67">
        <f t="shared" si="1"/>
        <v>10760.795471472582</v>
      </c>
      <c r="I25" s="67">
        <f t="shared" si="1"/>
        <v>11359.95189449125</v>
      </c>
      <c r="J25" s="4"/>
      <c r="K25" s="17"/>
    </row>
    <row r="26" spans="1:11" ht="13.5" thickBot="1">
      <c r="A26" s="123"/>
      <c r="B26" s="124"/>
      <c r="C26" s="124"/>
      <c r="D26" s="68"/>
      <c r="E26" s="68"/>
      <c r="F26" s="68"/>
      <c r="G26" s="68"/>
      <c r="H26" s="68"/>
      <c r="I26" s="68"/>
      <c r="J26" s="4"/>
      <c r="K26" s="17"/>
    </row>
    <row r="27" spans="1:11" ht="13.5" thickBot="1">
      <c r="A27" s="263" t="s">
        <v>45</v>
      </c>
      <c r="B27" s="264"/>
      <c r="C27" s="265"/>
      <c r="D27" s="67">
        <v>2598.215781438091</v>
      </c>
      <c r="E27" s="67">
        <v>2598.215781438091</v>
      </c>
      <c r="F27" s="67">
        <v>2598.215781438091</v>
      </c>
      <c r="G27" s="67">
        <v>2598.215781438091</v>
      </c>
      <c r="H27" s="67">
        <v>2598.215781438091</v>
      </c>
      <c r="I27" s="67">
        <v>2598.215781438091</v>
      </c>
      <c r="J27" s="30"/>
      <c r="K27" s="17"/>
    </row>
    <row r="28" spans="1:11" ht="13.5" thickBot="1">
      <c r="A28" s="123"/>
      <c r="B28" s="124"/>
      <c r="C28" s="124"/>
      <c r="D28" s="68"/>
      <c r="E28" s="68"/>
      <c r="F28" s="68"/>
      <c r="G28" s="68"/>
      <c r="H28" s="68"/>
      <c r="I28" s="68"/>
      <c r="J28" s="4"/>
      <c r="K28" s="17"/>
    </row>
    <row r="29" spans="1:11" ht="27.75" customHeight="1" thickBot="1">
      <c r="A29" s="260" t="s">
        <v>46</v>
      </c>
      <c r="B29" s="261"/>
      <c r="C29" s="262"/>
      <c r="D29" s="67">
        <f aca="true" t="shared" si="2" ref="D29:I29">D25+D27</f>
        <v>10913.0893082347</v>
      </c>
      <c r="E29" s="67">
        <f t="shared" si="2"/>
        <v>11536.893857554023</v>
      </c>
      <c r="F29" s="67">
        <f t="shared" si="2"/>
        <v>12160.698406873344</v>
      </c>
      <c r="G29" s="67">
        <f t="shared" si="2"/>
        <v>12784.502956192668</v>
      </c>
      <c r="H29" s="67">
        <f t="shared" si="2"/>
        <v>13359.011252910674</v>
      </c>
      <c r="I29" s="67">
        <f t="shared" si="2"/>
        <v>13958.167675929342</v>
      </c>
      <c r="J29" s="4"/>
      <c r="K29" s="4"/>
    </row>
    <row r="30" spans="1:11" ht="13.5" thickBot="1">
      <c r="A30" s="118"/>
      <c r="B30" s="119"/>
      <c r="C30" s="119"/>
      <c r="D30" s="70"/>
      <c r="E30" s="70"/>
      <c r="F30" s="70"/>
      <c r="G30" s="70"/>
      <c r="H30" s="70"/>
      <c r="I30" s="70"/>
      <c r="J30" s="4"/>
      <c r="K30" s="4"/>
    </row>
    <row r="31" spans="1:11" ht="27.75" customHeight="1" thickBot="1">
      <c r="A31" s="260" t="s">
        <v>47</v>
      </c>
      <c r="B31" s="279"/>
      <c r="C31" s="280"/>
      <c r="D31" s="67">
        <f aca="true" t="shared" si="3" ref="D31:I31">D29/D5</f>
        <v>2182.6178616469397</v>
      </c>
      <c r="E31" s="67">
        <f t="shared" si="3"/>
        <v>2006.4163230528736</v>
      </c>
      <c r="F31" s="67">
        <f t="shared" si="3"/>
        <v>1870.8766779805144</v>
      </c>
      <c r="G31" s="67">
        <f t="shared" si="3"/>
        <v>1763.3797180955403</v>
      </c>
      <c r="H31" s="67">
        <f t="shared" si="3"/>
        <v>1669.8764066138342</v>
      </c>
      <c r="I31" s="67">
        <f t="shared" si="3"/>
        <v>1595.2191629633535</v>
      </c>
      <c r="J31" s="4"/>
      <c r="K31" s="4"/>
    </row>
    <row r="32" spans="1:11" ht="13.5" thickBot="1">
      <c r="A32" s="109"/>
      <c r="B32" s="110"/>
      <c r="C32" s="110"/>
      <c r="D32" s="70"/>
      <c r="E32" s="70"/>
      <c r="F32" s="70"/>
      <c r="G32" s="70"/>
      <c r="H32" s="70"/>
      <c r="I32" s="70"/>
      <c r="J32" s="4"/>
      <c r="K32" s="17"/>
    </row>
    <row r="33" spans="1:11" ht="13.5" thickBot="1">
      <c r="A33" s="112" t="s">
        <v>48</v>
      </c>
      <c r="B33" s="113"/>
      <c r="C33" s="113"/>
      <c r="D33" s="67">
        <f>'Pryse + Sensatiwiteitsanali'!D4</f>
        <v>261</v>
      </c>
      <c r="E33" s="67">
        <f>$D$33</f>
        <v>261</v>
      </c>
      <c r="F33" s="67">
        <f>$D$33</f>
        <v>261</v>
      </c>
      <c r="G33" s="67">
        <f>$D$33</f>
        <v>261</v>
      </c>
      <c r="H33" s="67">
        <f>$D$33</f>
        <v>261</v>
      </c>
      <c r="I33" s="67">
        <f>$D$33</f>
        <v>261</v>
      </c>
      <c r="J33" s="4"/>
      <c r="K33" s="17"/>
    </row>
    <row r="34" spans="1:11" ht="13.5" thickBot="1">
      <c r="A34" s="109"/>
      <c r="B34" s="110"/>
      <c r="C34" s="110"/>
      <c r="D34" s="70"/>
      <c r="E34" s="70"/>
      <c r="F34" s="70"/>
      <c r="G34" s="70"/>
      <c r="H34" s="70"/>
      <c r="I34" s="70"/>
      <c r="J34" s="4"/>
      <c r="K34" s="17"/>
    </row>
    <row r="35" spans="1:11" ht="25.5" customHeight="1" thickBot="1">
      <c r="A35" s="281" t="s">
        <v>49</v>
      </c>
      <c r="B35" s="282"/>
      <c r="C35" s="283"/>
      <c r="D35" s="69">
        <f aca="true" t="shared" si="4" ref="D35:I35">D31+D33</f>
        <v>2443.6178616469397</v>
      </c>
      <c r="E35" s="69">
        <f t="shared" si="4"/>
        <v>2267.416323052874</v>
      </c>
      <c r="F35" s="69">
        <f t="shared" si="4"/>
        <v>2131.8766779805146</v>
      </c>
      <c r="G35" s="69">
        <f t="shared" si="4"/>
        <v>2024.3797180955403</v>
      </c>
      <c r="H35" s="69">
        <f t="shared" si="4"/>
        <v>1930.8764066138342</v>
      </c>
      <c r="I35" s="69">
        <f t="shared" si="4"/>
        <v>1856.2191629633535</v>
      </c>
      <c r="J35" s="4"/>
      <c r="K35" s="17"/>
    </row>
    <row r="36" spans="1:11" ht="13.5" thickBot="1">
      <c r="A36" s="107" t="s">
        <v>50</v>
      </c>
      <c r="B36" s="108"/>
      <c r="C36" s="7"/>
      <c r="D36" s="69">
        <f>'Pryse + Sensatiwiteitsanali'!B4</f>
        <v>2700</v>
      </c>
      <c r="E36" s="69">
        <f>$D$36</f>
        <v>2700</v>
      </c>
      <c r="F36" s="69">
        <f>$D$36</f>
        <v>2700</v>
      </c>
      <c r="G36" s="69">
        <f>$D$36</f>
        <v>2700</v>
      </c>
      <c r="H36" s="69">
        <f>$D$36</f>
        <v>2700</v>
      </c>
      <c r="I36" s="69">
        <f>$D$36</f>
        <v>2700</v>
      </c>
      <c r="J36" s="17"/>
      <c r="K36" s="4"/>
    </row>
    <row r="37" spans="9:10" ht="12.75">
      <c r="I37" s="4"/>
      <c r="J37" s="4"/>
    </row>
    <row r="38" spans="1:10" ht="13.5" thickBot="1">
      <c r="A38" s="4"/>
      <c r="B38" s="32"/>
      <c r="C38" s="4"/>
      <c r="D38" s="4"/>
      <c r="E38" s="4"/>
      <c r="F38" s="4"/>
      <c r="G38" s="4"/>
      <c r="H38" s="4"/>
      <c r="I38" s="17"/>
      <c r="J38" s="4"/>
    </row>
    <row r="39" spans="1:10" ht="12.75">
      <c r="A39" s="1" t="s">
        <v>14</v>
      </c>
      <c r="B39" s="33"/>
      <c r="C39" s="34"/>
      <c r="D39" s="34"/>
      <c r="E39" s="34"/>
      <c r="F39" s="34"/>
      <c r="G39" s="34"/>
      <c r="H39" s="35"/>
      <c r="I39" s="17"/>
      <c r="J39" s="4"/>
    </row>
    <row r="40" spans="1:10" ht="12.75">
      <c r="A40" s="36" t="s">
        <v>1</v>
      </c>
      <c r="B40" s="37"/>
      <c r="C40" s="38"/>
      <c r="D40" s="39"/>
      <c r="E40" s="39"/>
      <c r="F40" s="39"/>
      <c r="G40" s="39"/>
      <c r="H40" s="40"/>
      <c r="I40" s="17"/>
      <c r="J40" s="4"/>
    </row>
    <row r="41" spans="1:16" ht="13.5" thickBot="1">
      <c r="A41" s="41" t="s">
        <v>0</v>
      </c>
      <c r="B41" s="42"/>
      <c r="C41" s="43"/>
      <c r="D41" s="43"/>
      <c r="E41" s="43"/>
      <c r="F41" s="43"/>
      <c r="G41" s="44"/>
      <c r="H41" s="45"/>
      <c r="I41" s="17"/>
      <c r="J41" s="4"/>
      <c r="P41" s="71"/>
    </row>
    <row r="42" spans="1:10" ht="13.5" thickBot="1">
      <c r="A42" s="46"/>
      <c r="B42" s="11"/>
      <c r="C42" s="47" t="s">
        <v>2</v>
      </c>
      <c r="D42" s="48"/>
      <c r="E42" s="48"/>
      <c r="F42" s="48"/>
      <c r="G42" s="49"/>
      <c r="H42" s="50"/>
      <c r="I42" s="17"/>
      <c r="J42" s="4"/>
    </row>
    <row r="43" spans="1:10" ht="13.5" thickBot="1">
      <c r="A43" s="5"/>
      <c r="B43" s="32"/>
      <c r="C43" s="4"/>
      <c r="D43" s="4"/>
      <c r="E43" s="4"/>
      <c r="F43" s="4"/>
      <c r="G43" s="4"/>
      <c r="H43" s="51"/>
      <c r="I43" s="17"/>
      <c r="J43" s="4"/>
    </row>
    <row r="44" spans="1:10" ht="13.5" thickBot="1">
      <c r="A44" s="5"/>
      <c r="B44" s="52"/>
      <c r="C44" s="53">
        <v>2519.75</v>
      </c>
      <c r="D44" s="53">
        <v>2619.75</v>
      </c>
      <c r="E44" s="54">
        <v>2719.75</v>
      </c>
      <c r="F44" s="53">
        <v>2819.75</v>
      </c>
      <c r="G44" s="55">
        <v>2919.75</v>
      </c>
      <c r="H44" s="51"/>
      <c r="I44" s="17"/>
      <c r="J44" s="4"/>
    </row>
    <row r="45" spans="1:10" ht="12.75">
      <c r="A45" s="5"/>
      <c r="B45" s="56">
        <v>5</v>
      </c>
      <c r="C45" s="79">
        <v>1685.6606917653007</v>
      </c>
      <c r="D45" s="80">
        <v>2185.6606917653007</v>
      </c>
      <c r="E45" s="80">
        <v>2685.6606917653007</v>
      </c>
      <c r="F45" s="80">
        <v>3185.6606917653007</v>
      </c>
      <c r="G45" s="81">
        <v>3685.6606917653007</v>
      </c>
      <c r="H45" s="51"/>
      <c r="I45" s="17"/>
      <c r="J45" s="4"/>
    </row>
    <row r="46" spans="1:10" ht="12.75">
      <c r="A46" s="5"/>
      <c r="B46" s="57"/>
      <c r="C46" s="82"/>
      <c r="D46" s="75"/>
      <c r="E46" s="75"/>
      <c r="F46" s="75"/>
      <c r="G46" s="76"/>
      <c r="H46" s="51"/>
      <c r="I46" s="17"/>
      <c r="J46" s="4"/>
    </row>
    <row r="47" spans="1:10" ht="12.75">
      <c r="A47" s="5"/>
      <c r="B47" s="56">
        <v>5.75</v>
      </c>
      <c r="C47" s="82">
        <v>2951.6686424459767</v>
      </c>
      <c r="D47" s="75">
        <v>3526.6686424459767</v>
      </c>
      <c r="E47" s="75">
        <v>4101.668642445977</v>
      </c>
      <c r="F47" s="75">
        <v>4676.668642445977</v>
      </c>
      <c r="G47" s="76">
        <v>5251.668642445977</v>
      </c>
      <c r="H47" s="51"/>
      <c r="I47" s="17"/>
      <c r="J47" s="4"/>
    </row>
    <row r="48" spans="1:10" ht="13.5" thickBot="1">
      <c r="A48" s="58"/>
      <c r="B48" s="57"/>
      <c r="C48" s="82"/>
      <c r="D48" s="75"/>
      <c r="E48" s="75"/>
      <c r="F48" s="75"/>
      <c r="G48" s="76"/>
      <c r="H48" s="51"/>
      <c r="I48" s="17"/>
      <c r="J48" s="4"/>
    </row>
    <row r="49" spans="1:10" ht="13.5" thickBot="1">
      <c r="A49" s="59" t="s">
        <v>4</v>
      </c>
      <c r="B49" s="60">
        <v>6.5</v>
      </c>
      <c r="C49" s="82">
        <v>4217.676593126656</v>
      </c>
      <c r="D49" s="75">
        <v>4867.676593126656</v>
      </c>
      <c r="E49" s="84">
        <v>5517.676593126656</v>
      </c>
      <c r="F49" s="75">
        <v>6167.676593126656</v>
      </c>
      <c r="G49" s="76">
        <v>6817.676593126656</v>
      </c>
      <c r="H49" s="51"/>
      <c r="I49" s="17"/>
      <c r="J49" s="4"/>
    </row>
    <row r="50" spans="1:10" ht="12.75">
      <c r="A50" s="5"/>
      <c r="B50" s="57"/>
      <c r="C50" s="82"/>
      <c r="D50" s="75"/>
      <c r="E50" s="75"/>
      <c r="F50" s="75"/>
      <c r="G50" s="76"/>
      <c r="H50" s="51"/>
      <c r="I50" s="17"/>
      <c r="J50" s="4"/>
    </row>
    <row r="51" spans="1:10" ht="12.75">
      <c r="A51" s="5"/>
      <c r="B51" s="56">
        <v>7.25</v>
      </c>
      <c r="C51" s="82">
        <v>5483.684543807332</v>
      </c>
      <c r="D51" s="75">
        <v>6208.684543807332</v>
      </c>
      <c r="E51" s="75">
        <v>6933.684543807332</v>
      </c>
      <c r="F51" s="75">
        <v>7658.684543807332</v>
      </c>
      <c r="G51" s="76">
        <v>8383.684543807332</v>
      </c>
      <c r="H51" s="51"/>
      <c r="I51" s="17"/>
      <c r="J51" s="4"/>
    </row>
    <row r="52" spans="1:10" ht="12.75">
      <c r="A52" s="5"/>
      <c r="B52" s="57"/>
      <c r="C52" s="82"/>
      <c r="D52" s="75"/>
      <c r="E52" s="75"/>
      <c r="F52" s="75"/>
      <c r="G52" s="76"/>
      <c r="H52" s="51"/>
      <c r="I52" s="17"/>
      <c r="J52" s="4"/>
    </row>
    <row r="53" spans="1:10" ht="12.75">
      <c r="A53" s="5"/>
      <c r="B53" s="56">
        <v>8</v>
      </c>
      <c r="C53" s="82">
        <v>6798.988747089326</v>
      </c>
      <c r="D53" s="75">
        <v>7598.988747089326</v>
      </c>
      <c r="E53" s="75">
        <v>8398.988747089326</v>
      </c>
      <c r="F53" s="75">
        <v>9198.988747089326</v>
      </c>
      <c r="G53" s="76">
        <v>9998.988747089326</v>
      </c>
      <c r="H53" s="51"/>
      <c r="I53" s="17"/>
      <c r="J53" s="4"/>
    </row>
    <row r="54" spans="1:10" ht="12.75">
      <c r="A54" s="5"/>
      <c r="B54" s="57"/>
      <c r="C54" s="82"/>
      <c r="D54" s="75"/>
      <c r="E54" s="75"/>
      <c r="F54" s="75"/>
      <c r="G54" s="76"/>
      <c r="H54" s="51"/>
      <c r="I54" s="17"/>
      <c r="J54" s="4"/>
    </row>
    <row r="55" spans="1:9" ht="13.5" thickBot="1">
      <c r="A55" s="5"/>
      <c r="B55" s="61">
        <v>8.75</v>
      </c>
      <c r="C55" s="86">
        <v>8089.644824070658</v>
      </c>
      <c r="D55" s="87">
        <v>8964.644824070658</v>
      </c>
      <c r="E55" s="87">
        <v>9839.644824070658</v>
      </c>
      <c r="F55" s="87">
        <v>10714.644824070658</v>
      </c>
      <c r="G55" s="88">
        <v>11589.644824070658</v>
      </c>
      <c r="H55" s="51"/>
      <c r="I55" s="17"/>
    </row>
    <row r="56" spans="1:8" ht="13.5" thickBot="1">
      <c r="A56" s="62"/>
      <c r="B56" s="13"/>
      <c r="C56" s="13"/>
      <c r="D56" s="13"/>
      <c r="E56" s="13"/>
      <c r="F56" s="13"/>
      <c r="G56" s="13"/>
      <c r="H56" s="6"/>
    </row>
    <row r="57" spans="1:10" ht="15">
      <c r="A57" s="132" t="s">
        <v>55</v>
      </c>
      <c r="B57" s="133"/>
      <c r="C57" s="133"/>
      <c r="D57" s="133"/>
      <c r="E57" s="133"/>
      <c r="F57" s="133"/>
      <c r="G57" s="133"/>
      <c r="H57" s="134"/>
      <c r="I57" s="131"/>
      <c r="J57" s="131"/>
    </row>
    <row r="58" spans="1:10" ht="15">
      <c r="A58" s="135" t="s">
        <v>56</v>
      </c>
      <c r="B58" s="136"/>
      <c r="C58" s="136"/>
      <c r="D58" s="136"/>
      <c r="E58" s="136"/>
      <c r="F58" s="136"/>
      <c r="G58" s="136"/>
      <c r="H58" s="137"/>
      <c r="I58" s="131"/>
      <c r="J58" s="131"/>
    </row>
    <row r="59" spans="1:10" ht="15.75" thickBot="1">
      <c r="A59" s="138" t="s">
        <v>57</v>
      </c>
      <c r="B59" s="139"/>
      <c r="C59" s="139"/>
      <c r="D59" s="139"/>
      <c r="E59" s="139"/>
      <c r="F59" s="139"/>
      <c r="G59" s="139"/>
      <c r="H59" s="140"/>
      <c r="I59" s="131"/>
      <c r="J59" s="131"/>
    </row>
    <row r="60" spans="1:8" ht="12.75">
      <c r="A60" s="267" t="s">
        <v>58</v>
      </c>
      <c r="B60" s="268"/>
      <c r="C60" s="268"/>
      <c r="D60" s="268"/>
      <c r="E60" s="268"/>
      <c r="F60" s="268"/>
      <c r="G60" s="268"/>
      <c r="H60" s="269"/>
    </row>
    <row r="61" spans="1:8" ht="12.75">
      <c r="A61" s="270"/>
      <c r="B61" s="271"/>
      <c r="C61" s="271"/>
      <c r="D61" s="271"/>
      <c r="E61" s="271"/>
      <c r="F61" s="271"/>
      <c r="G61" s="271"/>
      <c r="H61" s="272"/>
    </row>
    <row r="62" spans="1:8" ht="12.75">
      <c r="A62" s="270"/>
      <c r="B62" s="271"/>
      <c r="C62" s="271"/>
      <c r="D62" s="271"/>
      <c r="E62" s="271"/>
      <c r="F62" s="271"/>
      <c r="G62" s="271"/>
      <c r="H62" s="272"/>
    </row>
    <row r="63" spans="1:8" ht="13.5" thickBot="1">
      <c r="A63" s="273"/>
      <c r="B63" s="274"/>
      <c r="C63" s="274"/>
      <c r="D63" s="274"/>
      <c r="E63" s="274"/>
      <c r="F63" s="274"/>
      <c r="G63" s="274"/>
      <c r="H63" s="275"/>
    </row>
    <row r="92" ht="12.75"/>
    <row r="93" ht="12.75"/>
    <row r="94" ht="12.75"/>
    <row r="95" ht="12.75"/>
    <row r="96" ht="12.75"/>
    <row r="97" ht="12.75"/>
  </sheetData>
  <sheetProtection/>
  <mergeCells count="11">
    <mergeCell ref="E1:G1"/>
    <mergeCell ref="A1:D1"/>
    <mergeCell ref="A31:C31"/>
    <mergeCell ref="A35:C35"/>
    <mergeCell ref="A3:C3"/>
    <mergeCell ref="A8:C8"/>
    <mergeCell ref="A25:C25"/>
    <mergeCell ref="A27:C27"/>
    <mergeCell ref="A29:C29"/>
    <mergeCell ref="M7:O7"/>
    <mergeCell ref="A60:H63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4.7109375" style="2" customWidth="1"/>
    <col min="3" max="3" width="20.421875" style="2" customWidth="1"/>
    <col min="4" max="4" width="16.7109375" style="2" customWidth="1"/>
    <col min="5" max="5" width="14.421875" style="2" customWidth="1"/>
    <col min="6" max="9" width="14.28125" style="2" customWidth="1"/>
    <col min="10" max="10" width="14.421875" style="2" customWidth="1"/>
    <col min="11" max="15" width="12.7109375" style="2" hidden="1" customWidth="1"/>
    <col min="16" max="26" width="12.7109375" style="2" customWidth="1"/>
    <col min="27" max="16384" width="9.140625" style="2" customWidth="1"/>
  </cols>
  <sheetData>
    <row r="1" spans="1:10" s="4" customFormat="1" ht="31.5" customHeight="1" thickBot="1">
      <c r="A1" s="276" t="s">
        <v>17</v>
      </c>
      <c r="B1" s="277"/>
      <c r="C1" s="277"/>
      <c r="D1" s="277"/>
      <c r="E1" s="278" t="s">
        <v>15</v>
      </c>
      <c r="F1" s="278"/>
      <c r="G1" s="278"/>
      <c r="H1" s="3"/>
      <c r="I1" s="18"/>
      <c r="J1" s="17"/>
    </row>
    <row r="2" spans="1:10" ht="16.5" thickBot="1">
      <c r="A2" s="19"/>
      <c r="B2" s="20"/>
      <c r="C2" s="21"/>
      <c r="D2" s="21"/>
      <c r="E2" s="13"/>
      <c r="F2" s="13"/>
      <c r="G2" s="13"/>
      <c r="H2" s="13"/>
      <c r="I2" s="6"/>
      <c r="J2" s="4"/>
    </row>
    <row r="3" spans="1:11" ht="27.75" customHeight="1" thickBot="1">
      <c r="A3" s="281" t="s">
        <v>24</v>
      </c>
      <c r="B3" s="282"/>
      <c r="C3" s="282"/>
      <c r="D3" s="64"/>
      <c r="E3" s="77">
        <f>'Pryse + Sensatiwiteitsanali'!B24</f>
        <v>2439</v>
      </c>
      <c r="F3" s="64" t="s">
        <v>3</v>
      </c>
      <c r="G3" s="22"/>
      <c r="H3" s="22"/>
      <c r="I3" s="7"/>
      <c r="K3" s="4"/>
    </row>
    <row r="4" spans="1:12" ht="13.5" thickBot="1">
      <c r="A4" s="111"/>
      <c r="B4" s="9"/>
      <c r="C4" s="9"/>
      <c r="D4" s="8"/>
      <c r="E4" s="12"/>
      <c r="F4" s="23"/>
      <c r="G4" s="9"/>
      <c r="H4" s="24"/>
      <c r="I4" s="24"/>
      <c r="J4" s="4"/>
      <c r="K4" s="17"/>
      <c r="L4" s="17"/>
    </row>
    <row r="5" spans="1:12" ht="13.5" thickBot="1">
      <c r="A5" s="115" t="s">
        <v>25</v>
      </c>
      <c r="B5" s="9"/>
      <c r="C5" s="9"/>
      <c r="D5" s="97">
        <v>3.5</v>
      </c>
      <c r="E5" s="97">
        <v>4</v>
      </c>
      <c r="F5" s="97">
        <v>4.5</v>
      </c>
      <c r="G5" s="97">
        <v>5</v>
      </c>
      <c r="H5" s="97">
        <v>6</v>
      </c>
      <c r="I5" s="97">
        <v>7</v>
      </c>
      <c r="J5" s="4"/>
      <c r="K5" s="104"/>
      <c r="L5" s="104"/>
    </row>
    <row r="6" spans="1:12" ht="13.5" thickBot="1">
      <c r="A6" s="116" t="s">
        <v>26</v>
      </c>
      <c r="B6" s="113"/>
      <c r="C6" s="114"/>
      <c r="D6" s="73">
        <f aca="true" t="shared" si="0" ref="D6:I6">$E$3*D5</f>
        <v>8536.5</v>
      </c>
      <c r="E6" s="73">
        <f t="shared" si="0"/>
        <v>9756</v>
      </c>
      <c r="F6" s="73">
        <f t="shared" si="0"/>
        <v>10975.5</v>
      </c>
      <c r="G6" s="73">
        <f t="shared" si="0"/>
        <v>12195</v>
      </c>
      <c r="H6" s="73">
        <f t="shared" si="0"/>
        <v>14634</v>
      </c>
      <c r="I6" s="73">
        <f t="shared" si="0"/>
        <v>17073</v>
      </c>
      <c r="J6" s="4"/>
      <c r="K6" s="105"/>
      <c r="L6" s="105"/>
    </row>
    <row r="7" spans="1:15" ht="15.75" thickBot="1">
      <c r="A7" s="109"/>
      <c r="B7" s="110"/>
      <c r="C7" s="110"/>
      <c r="D7" s="26"/>
      <c r="E7" s="26"/>
      <c r="F7" s="26"/>
      <c r="G7" s="26"/>
      <c r="H7" s="26"/>
      <c r="I7" s="26"/>
      <c r="J7" s="4"/>
      <c r="K7" s="106"/>
      <c r="L7" s="106"/>
      <c r="M7" s="266" t="s">
        <v>125</v>
      </c>
      <c r="N7" s="266"/>
      <c r="O7" s="266"/>
    </row>
    <row r="8" spans="1:15" ht="25.5" customHeight="1" thickBot="1">
      <c r="A8" s="257" t="s">
        <v>27</v>
      </c>
      <c r="B8" s="258"/>
      <c r="C8" s="259"/>
      <c r="D8" s="27"/>
      <c r="E8" s="27"/>
      <c r="F8" s="27"/>
      <c r="G8" s="27"/>
      <c r="H8" s="27"/>
      <c r="I8" s="27"/>
      <c r="J8" s="4"/>
      <c r="K8" s="4"/>
      <c r="L8" s="4"/>
      <c r="M8" s="238" t="s">
        <v>120</v>
      </c>
      <c r="N8" s="238" t="s">
        <v>121</v>
      </c>
      <c r="O8" s="238" t="s">
        <v>122</v>
      </c>
    </row>
    <row r="9" spans="1:15" ht="15">
      <c r="A9" s="120" t="s">
        <v>28</v>
      </c>
      <c r="B9" s="121"/>
      <c r="C9" s="121"/>
      <c r="D9" s="65">
        <v>927.2593749999999</v>
      </c>
      <c r="E9" s="65">
        <v>976.0625</v>
      </c>
      <c r="F9" s="65">
        <v>1024.865625</v>
      </c>
      <c r="G9" s="65">
        <v>1073.66875</v>
      </c>
      <c r="H9" s="65">
        <v>1171.2749999999999</v>
      </c>
      <c r="I9" s="65">
        <v>1268.88125</v>
      </c>
      <c r="J9" s="4"/>
      <c r="K9" s="75"/>
      <c r="L9" s="75"/>
      <c r="M9" s="239">
        <f>D5</f>
        <v>3.5</v>
      </c>
      <c r="N9" s="239">
        <f>D25</f>
        <v>7206.722976207558</v>
      </c>
      <c r="O9" s="239">
        <f>D27</f>
        <v>2482.173781438091</v>
      </c>
    </row>
    <row r="10" spans="1:15" ht="15">
      <c r="A10" s="117" t="s">
        <v>29</v>
      </c>
      <c r="B10" s="122"/>
      <c r="C10" s="122"/>
      <c r="D10" s="66">
        <v>1832.5</v>
      </c>
      <c r="E10" s="66">
        <v>2080</v>
      </c>
      <c r="F10" s="66">
        <v>2327.5</v>
      </c>
      <c r="G10" s="66">
        <v>2575</v>
      </c>
      <c r="H10" s="66">
        <v>3070</v>
      </c>
      <c r="I10" s="66">
        <v>3565</v>
      </c>
      <c r="J10" s="4"/>
      <c r="K10" s="75"/>
      <c r="L10" s="75"/>
      <c r="M10" s="239">
        <f>E5</f>
        <v>4</v>
      </c>
      <c r="N10" s="239">
        <f>E25</f>
        <v>7655.361380898014</v>
      </c>
      <c r="O10" s="239">
        <f>E27</f>
        <v>2482.173781438091</v>
      </c>
    </row>
    <row r="11" spans="1:15" ht="15">
      <c r="A11" s="117" t="s">
        <v>30</v>
      </c>
      <c r="B11" s="122"/>
      <c r="C11" s="122"/>
      <c r="D11" s="66">
        <v>530</v>
      </c>
      <c r="E11" s="66">
        <v>530</v>
      </c>
      <c r="F11" s="66">
        <v>530</v>
      </c>
      <c r="G11" s="66">
        <v>530</v>
      </c>
      <c r="H11" s="66">
        <v>530</v>
      </c>
      <c r="I11" s="66">
        <v>530</v>
      </c>
      <c r="J11" s="4"/>
      <c r="K11" s="75"/>
      <c r="L11" s="75"/>
      <c r="M11" s="239">
        <f>F5</f>
        <v>4.5</v>
      </c>
      <c r="N11" s="239">
        <f>F25</f>
        <v>8103.999785588468</v>
      </c>
      <c r="O11" s="239">
        <f>F27</f>
        <v>2482.173781438091</v>
      </c>
    </row>
    <row r="12" spans="1:15" ht="15">
      <c r="A12" s="117" t="s">
        <v>31</v>
      </c>
      <c r="B12" s="122"/>
      <c r="C12" s="122"/>
      <c r="D12" s="66">
        <v>1056.3609059999999</v>
      </c>
      <c r="E12" s="66">
        <v>1073.281156</v>
      </c>
      <c r="F12" s="66">
        <v>1090.201406</v>
      </c>
      <c r="G12" s="66">
        <v>1107.1216559999998</v>
      </c>
      <c r="H12" s="66">
        <v>1134.5771559999998</v>
      </c>
      <c r="I12" s="66">
        <v>1162.0326559999999</v>
      </c>
      <c r="J12" s="4"/>
      <c r="K12" s="75"/>
      <c r="L12" s="75"/>
      <c r="M12" s="239">
        <f>G5</f>
        <v>5</v>
      </c>
      <c r="N12" s="239">
        <f>G25</f>
        <v>8552.638190278924</v>
      </c>
      <c r="O12" s="239">
        <f>G27</f>
        <v>2482.173781438091</v>
      </c>
    </row>
    <row r="13" spans="1:15" ht="15">
      <c r="A13" s="117" t="s">
        <v>32</v>
      </c>
      <c r="B13" s="122"/>
      <c r="C13" s="122"/>
      <c r="D13" s="66">
        <v>730.4153</v>
      </c>
      <c r="E13" s="66">
        <v>733.4803</v>
      </c>
      <c r="F13" s="66">
        <v>736.5453</v>
      </c>
      <c r="G13" s="66">
        <v>739.6103</v>
      </c>
      <c r="H13" s="66">
        <v>745.7403</v>
      </c>
      <c r="I13" s="66">
        <v>751.8703</v>
      </c>
      <c r="J13" s="4"/>
      <c r="K13" s="75"/>
      <c r="L13" s="75"/>
      <c r="M13" s="239">
        <f>H5</f>
        <v>6</v>
      </c>
      <c r="N13" s="239">
        <f>H25</f>
        <v>9442.704081610362</v>
      </c>
      <c r="O13" s="239">
        <f>H27</f>
        <v>2482.173781438091</v>
      </c>
    </row>
    <row r="14" spans="1:15" ht="15">
      <c r="A14" s="117" t="s">
        <v>33</v>
      </c>
      <c r="B14" s="122"/>
      <c r="C14" s="122"/>
      <c r="D14" s="66">
        <v>708</v>
      </c>
      <c r="E14" s="66">
        <v>708</v>
      </c>
      <c r="F14" s="66">
        <v>708</v>
      </c>
      <c r="G14" s="66">
        <v>708</v>
      </c>
      <c r="H14" s="66">
        <v>708</v>
      </c>
      <c r="I14" s="66">
        <v>708</v>
      </c>
      <c r="J14" s="4"/>
      <c r="K14" s="75"/>
      <c r="L14" s="75"/>
      <c r="M14" s="239">
        <f>I5</f>
        <v>7</v>
      </c>
      <c r="N14" s="239">
        <f>I25</f>
        <v>10332.769972941802</v>
      </c>
      <c r="O14" s="239">
        <f>I27</f>
        <v>2398.566</v>
      </c>
    </row>
    <row r="15" spans="1:12" ht="12.75">
      <c r="A15" s="117" t="s">
        <v>34</v>
      </c>
      <c r="B15" s="122"/>
      <c r="C15" s="122"/>
      <c r="D15" s="66">
        <v>30</v>
      </c>
      <c r="E15" s="66">
        <v>30</v>
      </c>
      <c r="F15" s="66">
        <v>30</v>
      </c>
      <c r="G15" s="66">
        <v>30</v>
      </c>
      <c r="H15" s="66">
        <v>30</v>
      </c>
      <c r="I15" s="66">
        <v>30</v>
      </c>
      <c r="J15" s="4"/>
      <c r="K15" s="75"/>
      <c r="L15" s="75"/>
    </row>
    <row r="16" spans="1:12" ht="12.75">
      <c r="A16" s="117" t="s">
        <v>35</v>
      </c>
      <c r="B16" s="122"/>
      <c r="C16" s="122"/>
      <c r="D16" s="66">
        <v>186.93675000000002</v>
      </c>
      <c r="E16" s="66">
        <v>213.642</v>
      </c>
      <c r="F16" s="66">
        <v>240.34724999999997</v>
      </c>
      <c r="G16" s="66">
        <v>267.0525</v>
      </c>
      <c r="H16" s="66">
        <v>320.463</v>
      </c>
      <c r="I16" s="66">
        <v>373.87350000000004</v>
      </c>
      <c r="J16" s="4"/>
      <c r="K16" s="75"/>
      <c r="L16" s="75"/>
    </row>
    <row r="17" spans="1:12" ht="12.75">
      <c r="A17" s="117" t="s">
        <v>36</v>
      </c>
      <c r="B17" s="122"/>
      <c r="C17" s="122"/>
      <c r="D17" s="66">
        <v>465.95731423877317</v>
      </c>
      <c r="E17" s="66">
        <v>494.9644436655714</v>
      </c>
      <c r="F17" s="66">
        <v>523.9715730923695</v>
      </c>
      <c r="G17" s="66">
        <v>552.9787025191675</v>
      </c>
      <c r="H17" s="66">
        <v>610.5267328221979</v>
      </c>
      <c r="I17" s="66">
        <v>668.0747631252282</v>
      </c>
      <c r="J17" s="4"/>
      <c r="K17" s="75"/>
      <c r="L17" s="75"/>
    </row>
    <row r="18" spans="1:12" ht="12.75">
      <c r="A18" s="117" t="s">
        <v>37</v>
      </c>
      <c r="B18" s="122"/>
      <c r="C18" s="122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4"/>
      <c r="K18" s="75"/>
      <c r="L18" s="75"/>
    </row>
    <row r="19" spans="1:12" ht="12.75">
      <c r="A19" s="117" t="s">
        <v>38</v>
      </c>
      <c r="B19" s="122"/>
      <c r="C19" s="122"/>
      <c r="D19" s="66">
        <v>379.81308750000005</v>
      </c>
      <c r="E19" s="66">
        <v>434.07210000000003</v>
      </c>
      <c r="F19" s="66">
        <v>488.3311125</v>
      </c>
      <c r="G19" s="66">
        <v>542.590125</v>
      </c>
      <c r="H19" s="66">
        <v>651.1081499999999</v>
      </c>
      <c r="I19" s="66">
        <v>759.6261750000001</v>
      </c>
      <c r="J19" s="4"/>
      <c r="K19" s="75"/>
      <c r="L19" s="75"/>
    </row>
    <row r="20" spans="1:12" ht="12.75">
      <c r="A20" s="117" t="s">
        <v>39</v>
      </c>
      <c r="B20" s="122"/>
      <c r="C20" s="122"/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4"/>
      <c r="K20" s="75"/>
      <c r="L20" s="75"/>
    </row>
    <row r="21" spans="1:12" ht="12.75">
      <c r="A21" s="117" t="s">
        <v>40</v>
      </c>
      <c r="B21" s="122"/>
      <c r="C21" s="122"/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4"/>
      <c r="K21" s="75"/>
      <c r="L21" s="75"/>
    </row>
    <row r="22" spans="1:12" ht="12.75">
      <c r="A22" s="117" t="s">
        <v>41</v>
      </c>
      <c r="B22" s="122"/>
      <c r="C22" s="122"/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4"/>
      <c r="K22" s="75"/>
      <c r="L22" s="75"/>
    </row>
    <row r="23" spans="1:12" ht="12.75">
      <c r="A23" s="117" t="s">
        <v>42</v>
      </c>
      <c r="B23" s="122"/>
      <c r="C23" s="122"/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4"/>
      <c r="K23" s="75"/>
      <c r="L23" s="75"/>
    </row>
    <row r="24" spans="1:12" ht="13.5" thickBot="1">
      <c r="A24" s="117" t="s">
        <v>43</v>
      </c>
      <c r="B24" s="122"/>
      <c r="C24" s="122"/>
      <c r="D24" s="66">
        <v>359.48024346878555</v>
      </c>
      <c r="E24" s="66">
        <v>381.85888123244257</v>
      </c>
      <c r="F24" s="66">
        <v>404.23751899609925</v>
      </c>
      <c r="G24" s="66">
        <v>426.6161567597563</v>
      </c>
      <c r="H24" s="66">
        <v>471.0137427881653</v>
      </c>
      <c r="I24" s="66">
        <v>515.4113288165745</v>
      </c>
      <c r="J24" s="4"/>
      <c r="K24" s="75"/>
      <c r="L24" s="75"/>
    </row>
    <row r="25" spans="1:12" ht="25.5" customHeight="1" thickBot="1">
      <c r="A25" s="260" t="s">
        <v>44</v>
      </c>
      <c r="B25" s="261"/>
      <c r="C25" s="262"/>
      <c r="D25" s="67">
        <f aca="true" t="shared" si="1" ref="D25:I25">SUM(D9:D24)</f>
        <v>7206.722976207558</v>
      </c>
      <c r="E25" s="67">
        <f t="shared" si="1"/>
        <v>7655.361380898014</v>
      </c>
      <c r="F25" s="67">
        <f t="shared" si="1"/>
        <v>8103.999785588468</v>
      </c>
      <c r="G25" s="67">
        <f t="shared" si="1"/>
        <v>8552.638190278924</v>
      </c>
      <c r="H25" s="67">
        <f t="shared" si="1"/>
        <v>9442.704081610362</v>
      </c>
      <c r="I25" s="67">
        <f t="shared" si="1"/>
        <v>10332.769972941802</v>
      </c>
      <c r="J25" s="4"/>
      <c r="K25" s="104"/>
      <c r="L25" s="104"/>
    </row>
    <row r="26" spans="1:11" ht="13.5" thickBot="1">
      <c r="A26" s="123"/>
      <c r="B26" s="124"/>
      <c r="C26" s="124"/>
      <c r="D26" s="68"/>
      <c r="E26" s="68"/>
      <c r="F26" s="68"/>
      <c r="G26" s="68"/>
      <c r="H26" s="68"/>
      <c r="I26" s="68"/>
      <c r="J26" s="4"/>
      <c r="K26" s="17"/>
    </row>
    <row r="27" spans="1:11" ht="13.5" thickBot="1">
      <c r="A27" s="263" t="s">
        <v>45</v>
      </c>
      <c r="B27" s="264"/>
      <c r="C27" s="265"/>
      <c r="D27" s="67">
        <v>2482.173781438091</v>
      </c>
      <c r="E27" s="67">
        <v>2482.173781438091</v>
      </c>
      <c r="F27" s="67">
        <v>2482.173781438091</v>
      </c>
      <c r="G27" s="67">
        <v>2482.173781438091</v>
      </c>
      <c r="H27" s="67">
        <v>2482.173781438091</v>
      </c>
      <c r="I27" s="67">
        <v>2398.566</v>
      </c>
      <c r="J27" s="30"/>
      <c r="K27" s="17"/>
    </row>
    <row r="28" spans="1:11" ht="13.5" thickBot="1">
      <c r="A28" s="123"/>
      <c r="B28" s="124"/>
      <c r="C28" s="124"/>
      <c r="D28" s="68"/>
      <c r="E28" s="68"/>
      <c r="F28" s="68"/>
      <c r="G28" s="68"/>
      <c r="H28" s="68"/>
      <c r="I28" s="68"/>
      <c r="J28" s="4"/>
      <c r="K28" s="17"/>
    </row>
    <row r="29" spans="1:11" ht="25.5" customHeight="1" thickBot="1">
      <c r="A29" s="260" t="s">
        <v>46</v>
      </c>
      <c r="B29" s="261"/>
      <c r="C29" s="262"/>
      <c r="D29" s="67">
        <f aca="true" t="shared" si="2" ref="D29:I29">D25+D27</f>
        <v>9688.896757645649</v>
      </c>
      <c r="E29" s="67">
        <f t="shared" si="2"/>
        <v>10137.535162336106</v>
      </c>
      <c r="F29" s="67">
        <f t="shared" si="2"/>
        <v>10586.173567026559</v>
      </c>
      <c r="G29" s="67">
        <f t="shared" si="2"/>
        <v>11034.811971717014</v>
      </c>
      <c r="H29" s="67">
        <f t="shared" si="2"/>
        <v>11924.877863048452</v>
      </c>
      <c r="I29" s="67">
        <f t="shared" si="2"/>
        <v>12731.3359729418</v>
      </c>
      <c r="J29" s="4"/>
      <c r="K29" s="4"/>
    </row>
    <row r="30" spans="1:11" ht="13.5" thickBot="1">
      <c r="A30" s="118"/>
      <c r="B30" s="119"/>
      <c r="C30" s="119"/>
      <c r="D30" s="70"/>
      <c r="E30" s="70"/>
      <c r="F30" s="70"/>
      <c r="G30" s="70"/>
      <c r="H30" s="70"/>
      <c r="I30" s="70"/>
      <c r="J30" s="4"/>
      <c r="K30" s="4"/>
    </row>
    <row r="31" spans="1:11" ht="25.5" customHeight="1" thickBot="1">
      <c r="A31" s="260" t="s">
        <v>47</v>
      </c>
      <c r="B31" s="279"/>
      <c r="C31" s="280"/>
      <c r="D31" s="67">
        <f aca="true" t="shared" si="3" ref="D31:I31">D29/D5</f>
        <v>2768.2562164701853</v>
      </c>
      <c r="E31" s="67">
        <f t="shared" si="3"/>
        <v>2534.3837905840264</v>
      </c>
      <c r="F31" s="67">
        <f t="shared" si="3"/>
        <v>2352.483014894791</v>
      </c>
      <c r="G31" s="67">
        <f t="shared" si="3"/>
        <v>2206.9623943434026</v>
      </c>
      <c r="H31" s="67">
        <f t="shared" si="3"/>
        <v>1987.4796438414087</v>
      </c>
      <c r="I31" s="67">
        <f t="shared" si="3"/>
        <v>1818.7622818488287</v>
      </c>
      <c r="J31" s="4"/>
      <c r="K31" s="4"/>
    </row>
    <row r="32" spans="1:11" ht="13.5" thickBot="1">
      <c r="A32" s="109"/>
      <c r="B32" s="110"/>
      <c r="C32" s="110"/>
      <c r="D32" s="70"/>
      <c r="E32" s="70"/>
      <c r="F32" s="70"/>
      <c r="G32" s="70"/>
      <c r="H32" s="70"/>
      <c r="I32" s="70"/>
      <c r="J32" s="4"/>
      <c r="K32" s="17"/>
    </row>
    <row r="33" spans="1:11" ht="13.5" thickBot="1">
      <c r="A33" s="112" t="s">
        <v>48</v>
      </c>
      <c r="B33" s="113"/>
      <c r="C33" s="113"/>
      <c r="D33" s="67">
        <f>'Pryse + Sensatiwiteitsanali'!D4</f>
        <v>261</v>
      </c>
      <c r="E33" s="67">
        <f>$D$33</f>
        <v>261</v>
      </c>
      <c r="F33" s="67">
        <f>$D$33</f>
        <v>261</v>
      </c>
      <c r="G33" s="67">
        <f>$D$33</f>
        <v>261</v>
      </c>
      <c r="H33" s="67">
        <f>$D$33</f>
        <v>261</v>
      </c>
      <c r="I33" s="67">
        <f>$D$33</f>
        <v>261</v>
      </c>
      <c r="J33" s="4"/>
      <c r="K33" s="17"/>
    </row>
    <row r="34" spans="1:11" ht="13.5" thickBot="1">
      <c r="A34" s="109"/>
      <c r="B34" s="110"/>
      <c r="C34" s="110"/>
      <c r="D34" s="70"/>
      <c r="E34" s="70"/>
      <c r="F34" s="70"/>
      <c r="G34" s="70"/>
      <c r="H34" s="70"/>
      <c r="I34" s="70"/>
      <c r="J34" s="4"/>
      <c r="K34" s="17"/>
    </row>
    <row r="35" spans="1:11" ht="27.75" customHeight="1" thickBot="1">
      <c r="A35" s="281" t="s">
        <v>49</v>
      </c>
      <c r="B35" s="282"/>
      <c r="C35" s="283"/>
      <c r="D35" s="69">
        <f aca="true" t="shared" si="4" ref="D35:I35">D31+D33</f>
        <v>3029.2562164701853</v>
      </c>
      <c r="E35" s="69">
        <f t="shared" si="4"/>
        <v>2795.3837905840264</v>
      </c>
      <c r="F35" s="69">
        <f t="shared" si="4"/>
        <v>2613.483014894791</v>
      </c>
      <c r="G35" s="69">
        <f t="shared" si="4"/>
        <v>2467.9623943434026</v>
      </c>
      <c r="H35" s="69">
        <f t="shared" si="4"/>
        <v>2248.4796438414087</v>
      </c>
      <c r="I35" s="69">
        <f t="shared" si="4"/>
        <v>2079.762281848829</v>
      </c>
      <c r="J35" s="4"/>
      <c r="K35" s="17"/>
    </row>
    <row r="36" spans="1:11" ht="13.5" thickBot="1">
      <c r="A36" s="107" t="s">
        <v>50</v>
      </c>
      <c r="B36" s="108"/>
      <c r="C36" s="7"/>
      <c r="D36" s="69">
        <f>'Pryse + Sensatiwiteitsanali'!B4</f>
        <v>2700</v>
      </c>
      <c r="E36" s="69">
        <f>$D$36</f>
        <v>2700</v>
      </c>
      <c r="F36" s="69">
        <f>$D$36</f>
        <v>2700</v>
      </c>
      <c r="G36" s="69">
        <f>$D$36</f>
        <v>2700</v>
      </c>
      <c r="H36" s="69">
        <f>$D$36</f>
        <v>2700</v>
      </c>
      <c r="I36" s="69">
        <f>$D$36</f>
        <v>2700</v>
      </c>
      <c r="J36" s="17"/>
      <c r="K36" s="4"/>
    </row>
    <row r="37" spans="4:10" ht="12.75">
      <c r="D37" s="63"/>
      <c r="E37" s="63"/>
      <c r="F37" s="63"/>
      <c r="G37" s="63"/>
      <c r="H37" s="63"/>
      <c r="I37" s="4"/>
      <c r="J37" s="4"/>
    </row>
    <row r="38" spans="1:10" ht="13.5" thickBot="1">
      <c r="A38" s="4"/>
      <c r="B38" s="32"/>
      <c r="C38" s="4"/>
      <c r="D38" s="4"/>
      <c r="E38" s="4"/>
      <c r="F38" s="4"/>
      <c r="G38" s="4"/>
      <c r="H38" s="4"/>
      <c r="I38" s="17"/>
      <c r="J38" s="4"/>
    </row>
    <row r="39" spans="1:10" ht="12.75">
      <c r="A39" s="1" t="s">
        <v>13</v>
      </c>
      <c r="B39" s="33"/>
      <c r="C39" s="34"/>
      <c r="D39" s="34"/>
      <c r="E39" s="34"/>
      <c r="F39" s="34"/>
      <c r="G39" s="34"/>
      <c r="H39" s="35"/>
      <c r="I39" s="17"/>
      <c r="J39" s="4"/>
    </row>
    <row r="40" spans="1:10" ht="12.75">
      <c r="A40" s="36" t="s">
        <v>1</v>
      </c>
      <c r="B40" s="37"/>
      <c r="C40" s="38"/>
      <c r="D40" s="39"/>
      <c r="E40" s="39"/>
      <c r="F40" s="39"/>
      <c r="G40" s="39"/>
      <c r="H40" s="40"/>
      <c r="I40" s="17"/>
      <c r="J40" s="4"/>
    </row>
    <row r="41" spans="1:16" ht="13.5" thickBot="1">
      <c r="A41" s="41" t="s">
        <v>0</v>
      </c>
      <c r="B41" s="42"/>
      <c r="C41" s="43"/>
      <c r="D41" s="43"/>
      <c r="E41" s="43"/>
      <c r="F41" s="43"/>
      <c r="G41" s="44"/>
      <c r="H41" s="45"/>
      <c r="I41" s="17"/>
      <c r="J41" s="4"/>
      <c r="P41" s="71"/>
    </row>
    <row r="42" spans="1:10" ht="13.5" thickBot="1">
      <c r="A42" s="46"/>
      <c r="B42" s="11"/>
      <c r="C42" s="47" t="s">
        <v>2</v>
      </c>
      <c r="D42" s="48"/>
      <c r="E42" s="48"/>
      <c r="F42" s="48"/>
      <c r="G42" s="49"/>
      <c r="H42" s="50"/>
      <c r="I42" s="17"/>
      <c r="J42" s="4"/>
    </row>
    <row r="43" spans="1:10" ht="13.5" thickBot="1">
      <c r="A43" s="5"/>
      <c r="B43" s="32"/>
      <c r="C43" s="4"/>
      <c r="D43" s="4"/>
      <c r="E43" s="4"/>
      <c r="F43" s="4"/>
      <c r="G43" s="4"/>
      <c r="H43" s="51"/>
      <c r="I43" s="17"/>
      <c r="J43" s="4"/>
    </row>
    <row r="44" spans="1:10" ht="13.5" thickBot="1">
      <c r="A44" s="5"/>
      <c r="B44" s="52"/>
      <c r="C44" s="53">
        <v>2539</v>
      </c>
      <c r="D44" s="53">
        <v>2639</v>
      </c>
      <c r="E44" s="54">
        <v>2739</v>
      </c>
      <c r="F44" s="53">
        <v>2839</v>
      </c>
      <c r="G44" s="55">
        <v>2939</v>
      </c>
      <c r="H44" s="51"/>
      <c r="I44" s="17"/>
      <c r="J44" s="4"/>
    </row>
    <row r="45" spans="1:10" ht="12.75">
      <c r="A45" s="5"/>
      <c r="B45" s="56">
        <v>3.5</v>
      </c>
      <c r="C45" s="79">
        <v>-802.3967576456489</v>
      </c>
      <c r="D45" s="80">
        <v>-452.3967576456489</v>
      </c>
      <c r="E45" s="80">
        <v>-102.3967576456489</v>
      </c>
      <c r="F45" s="80">
        <v>247.6032423543511</v>
      </c>
      <c r="G45" s="81">
        <v>597.6032423543511</v>
      </c>
      <c r="H45" s="51"/>
      <c r="I45" s="17"/>
      <c r="J45" s="4"/>
    </row>
    <row r="46" spans="1:10" ht="12.75">
      <c r="A46" s="5"/>
      <c r="B46" s="57"/>
      <c r="C46" s="82"/>
      <c r="D46" s="75"/>
      <c r="E46" s="75"/>
      <c r="F46" s="75"/>
      <c r="G46" s="76"/>
      <c r="H46" s="51"/>
      <c r="I46" s="17"/>
      <c r="J46" s="4"/>
    </row>
    <row r="47" spans="1:10" ht="12.75">
      <c r="A47" s="5"/>
      <c r="B47" s="56">
        <v>4</v>
      </c>
      <c r="C47" s="82">
        <v>18.464837663894286</v>
      </c>
      <c r="D47" s="75">
        <v>418.4648376638943</v>
      </c>
      <c r="E47" s="75">
        <v>818.4648376638943</v>
      </c>
      <c r="F47" s="75">
        <v>1218.4648376638943</v>
      </c>
      <c r="G47" s="76">
        <v>1618.4648376638943</v>
      </c>
      <c r="H47" s="51"/>
      <c r="I47" s="17"/>
      <c r="J47" s="4"/>
    </row>
    <row r="48" spans="1:10" ht="13.5" thickBot="1">
      <c r="A48" s="58"/>
      <c r="B48" s="57"/>
      <c r="C48" s="82"/>
      <c r="D48" s="75"/>
      <c r="E48" s="75"/>
      <c r="F48" s="75"/>
      <c r="G48" s="76"/>
      <c r="H48" s="51"/>
      <c r="I48" s="17"/>
      <c r="J48" s="4"/>
    </row>
    <row r="49" spans="1:10" ht="13.5" thickBot="1">
      <c r="A49" s="59" t="s">
        <v>4</v>
      </c>
      <c r="B49" s="60">
        <v>4.5</v>
      </c>
      <c r="C49" s="82">
        <v>839.3264329734411</v>
      </c>
      <c r="D49" s="75">
        <v>1289.3264329734411</v>
      </c>
      <c r="E49" s="84">
        <v>1739.3264329734411</v>
      </c>
      <c r="F49" s="75">
        <v>2189.326432973441</v>
      </c>
      <c r="G49" s="76">
        <v>2639.326432973441</v>
      </c>
      <c r="H49" s="51"/>
      <c r="I49" s="17"/>
      <c r="J49" s="4"/>
    </row>
    <row r="50" spans="1:10" ht="12.75">
      <c r="A50" s="5"/>
      <c r="B50" s="57"/>
      <c r="C50" s="82"/>
      <c r="D50" s="75"/>
      <c r="E50" s="75"/>
      <c r="F50" s="75"/>
      <c r="G50" s="76"/>
      <c r="H50" s="51"/>
      <c r="I50" s="17"/>
      <c r="J50" s="4"/>
    </row>
    <row r="51" spans="1:10" ht="12.75">
      <c r="A51" s="5"/>
      <c r="B51" s="56">
        <v>5</v>
      </c>
      <c r="C51" s="82">
        <v>1660.1880282829861</v>
      </c>
      <c r="D51" s="75">
        <v>2160.188028282986</v>
      </c>
      <c r="E51" s="75">
        <v>2660.188028282986</v>
      </c>
      <c r="F51" s="75">
        <v>3160.188028282986</v>
      </c>
      <c r="G51" s="76">
        <v>3660.188028282986</v>
      </c>
      <c r="H51" s="51"/>
      <c r="I51" s="17"/>
      <c r="J51" s="4"/>
    </row>
    <row r="52" spans="1:10" ht="12.75">
      <c r="A52" s="5"/>
      <c r="B52" s="57"/>
      <c r="C52" s="82"/>
      <c r="D52" s="75"/>
      <c r="E52" s="75"/>
      <c r="F52" s="75"/>
      <c r="G52" s="76"/>
      <c r="H52" s="51"/>
      <c r="I52" s="17"/>
      <c r="J52" s="4"/>
    </row>
    <row r="53" spans="1:10" ht="12.75">
      <c r="A53" s="5"/>
      <c r="B53" s="56">
        <v>6</v>
      </c>
      <c r="C53" s="82">
        <v>3309.122136951548</v>
      </c>
      <c r="D53" s="75">
        <v>3909.122136951548</v>
      </c>
      <c r="E53" s="75">
        <v>4509.122136951548</v>
      </c>
      <c r="F53" s="75">
        <v>5109.122136951548</v>
      </c>
      <c r="G53" s="76">
        <v>5709.122136951548</v>
      </c>
      <c r="H53" s="51"/>
      <c r="I53" s="17"/>
      <c r="J53" s="4"/>
    </row>
    <row r="54" spans="1:10" ht="12.75">
      <c r="A54" s="5"/>
      <c r="B54" s="57"/>
      <c r="C54" s="82"/>
      <c r="D54" s="75"/>
      <c r="E54" s="75"/>
      <c r="F54" s="75"/>
      <c r="G54" s="76"/>
      <c r="H54" s="51"/>
      <c r="I54" s="17"/>
      <c r="J54" s="4"/>
    </row>
    <row r="55" spans="1:9" ht="13.5" thickBot="1">
      <c r="A55" s="5"/>
      <c r="B55" s="61">
        <v>7</v>
      </c>
      <c r="C55" s="86">
        <v>5041.664027058199</v>
      </c>
      <c r="D55" s="87">
        <v>5741.664027058199</v>
      </c>
      <c r="E55" s="87">
        <v>6441.664027058199</v>
      </c>
      <c r="F55" s="87">
        <v>7141.664027058199</v>
      </c>
      <c r="G55" s="88">
        <v>7841.664027058199</v>
      </c>
      <c r="H55" s="51"/>
      <c r="I55" s="17"/>
    </row>
    <row r="56" spans="1:8" ht="13.5" thickBot="1">
      <c r="A56" s="62"/>
      <c r="B56" s="13"/>
      <c r="C56" s="13"/>
      <c r="D56" s="13"/>
      <c r="E56" s="13"/>
      <c r="F56" s="13"/>
      <c r="G56" s="13"/>
      <c r="H56" s="6"/>
    </row>
    <row r="57" spans="1:10" ht="15">
      <c r="A57" s="132" t="s">
        <v>55</v>
      </c>
      <c r="B57" s="133"/>
      <c r="C57" s="133"/>
      <c r="D57" s="133"/>
      <c r="E57" s="133"/>
      <c r="F57" s="133"/>
      <c r="G57" s="133"/>
      <c r="H57" s="134"/>
      <c r="I57" s="131"/>
      <c r="J57" s="131"/>
    </row>
    <row r="58" spans="1:10" ht="15">
      <c r="A58" s="135" t="s">
        <v>56</v>
      </c>
      <c r="B58" s="136"/>
      <c r="C58" s="136"/>
      <c r="D58" s="136"/>
      <c r="E58" s="136"/>
      <c r="F58" s="136"/>
      <c r="G58" s="136"/>
      <c r="H58" s="137"/>
      <c r="I58" s="131"/>
      <c r="J58" s="131"/>
    </row>
    <row r="59" spans="1:10" ht="15.75" thickBot="1">
      <c r="A59" s="138" t="s">
        <v>57</v>
      </c>
      <c r="B59" s="139"/>
      <c r="C59" s="139"/>
      <c r="D59" s="139"/>
      <c r="E59" s="139"/>
      <c r="F59" s="139"/>
      <c r="G59" s="139"/>
      <c r="H59" s="140"/>
      <c r="I59" s="131"/>
      <c r="J59" s="131"/>
    </row>
    <row r="60" spans="1:8" ht="12.75">
      <c r="A60" s="267" t="s">
        <v>58</v>
      </c>
      <c r="B60" s="268"/>
      <c r="C60" s="268"/>
      <c r="D60" s="268"/>
      <c r="E60" s="268"/>
      <c r="F60" s="268"/>
      <c r="G60" s="268"/>
      <c r="H60" s="269"/>
    </row>
    <row r="61" spans="1:8" ht="12.75">
      <c r="A61" s="270"/>
      <c r="B61" s="271"/>
      <c r="C61" s="271"/>
      <c r="D61" s="271"/>
      <c r="E61" s="271"/>
      <c r="F61" s="271"/>
      <c r="G61" s="271"/>
      <c r="H61" s="272"/>
    </row>
    <row r="62" spans="1:8" ht="12.75">
      <c r="A62" s="270"/>
      <c r="B62" s="271"/>
      <c r="C62" s="271"/>
      <c r="D62" s="271"/>
      <c r="E62" s="271"/>
      <c r="F62" s="271"/>
      <c r="G62" s="271"/>
      <c r="H62" s="272"/>
    </row>
    <row r="63" spans="1:8" ht="13.5" thickBot="1">
      <c r="A63" s="273"/>
      <c r="B63" s="274"/>
      <c r="C63" s="274"/>
      <c r="D63" s="274"/>
      <c r="E63" s="274"/>
      <c r="F63" s="274"/>
      <c r="G63" s="274"/>
      <c r="H63" s="275"/>
    </row>
  </sheetData>
  <sheetProtection/>
  <mergeCells count="11">
    <mergeCell ref="A1:D1"/>
    <mergeCell ref="E1:G1"/>
    <mergeCell ref="A31:C31"/>
    <mergeCell ref="A35:C35"/>
    <mergeCell ref="A3:C3"/>
    <mergeCell ref="A8:C8"/>
    <mergeCell ref="A25:C25"/>
    <mergeCell ref="A27:C27"/>
    <mergeCell ref="A29:C29"/>
    <mergeCell ref="M7:O7"/>
    <mergeCell ref="A60:H63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26" width="12.7109375" style="2" customWidth="1"/>
    <col min="27" max="16384" width="9.140625" style="2" customWidth="1"/>
  </cols>
  <sheetData>
    <row r="1" spans="1:10" s="4" customFormat="1" ht="28.5" customHeight="1" thickBot="1">
      <c r="A1" s="276" t="s">
        <v>59</v>
      </c>
      <c r="B1" s="277"/>
      <c r="C1" s="277"/>
      <c r="D1" s="277"/>
      <c r="E1" s="278" t="s">
        <v>15</v>
      </c>
      <c r="F1" s="278"/>
      <c r="G1" s="278"/>
      <c r="H1" s="3"/>
      <c r="I1" s="18"/>
      <c r="J1" s="17"/>
    </row>
    <row r="2" spans="1:10" ht="16.5" thickBot="1">
      <c r="A2" s="19"/>
      <c r="B2" s="20"/>
      <c r="C2" s="21"/>
      <c r="D2" s="21"/>
      <c r="E2" s="13"/>
      <c r="F2" s="13"/>
      <c r="G2" s="13"/>
      <c r="H2" s="13"/>
      <c r="I2" s="6"/>
      <c r="J2" s="4"/>
    </row>
    <row r="3" spans="1:11" ht="26.25" customHeight="1" thickBot="1">
      <c r="A3" s="281" t="s">
        <v>24</v>
      </c>
      <c r="B3" s="282"/>
      <c r="C3" s="282"/>
      <c r="D3" s="64"/>
      <c r="E3" s="77">
        <f>'Pryse + Sensatiwiteitsanali'!B24</f>
        <v>2439</v>
      </c>
      <c r="F3" s="64" t="s">
        <v>3</v>
      </c>
      <c r="G3" s="22"/>
      <c r="H3" s="22"/>
      <c r="I3" s="7"/>
      <c r="K3" s="4"/>
    </row>
    <row r="4" spans="1:11" ht="13.5" thickBot="1">
      <c r="A4" s="111"/>
      <c r="B4" s="9"/>
      <c r="C4" s="9"/>
      <c r="D4" s="93"/>
      <c r="E4" s="74"/>
      <c r="F4" s="94"/>
      <c r="G4" s="95"/>
      <c r="H4" s="96"/>
      <c r="I4" s="96"/>
      <c r="J4" s="4"/>
      <c r="K4" s="17"/>
    </row>
    <row r="5" spans="1:11" ht="13.5" thickBot="1">
      <c r="A5" s="115" t="s">
        <v>25</v>
      </c>
      <c r="B5" s="9"/>
      <c r="C5" s="9"/>
      <c r="D5" s="97">
        <v>3.5</v>
      </c>
      <c r="E5" s="97">
        <v>4</v>
      </c>
      <c r="F5" s="97">
        <v>4.5</v>
      </c>
      <c r="G5" s="97">
        <v>5</v>
      </c>
      <c r="H5" s="97">
        <v>6</v>
      </c>
      <c r="I5" s="97">
        <v>7</v>
      </c>
      <c r="J5" s="4"/>
      <c r="K5" s="17"/>
    </row>
    <row r="6" spans="1:11" ht="13.5" thickBot="1">
      <c r="A6" s="116" t="s">
        <v>26</v>
      </c>
      <c r="B6" s="113"/>
      <c r="C6" s="114"/>
      <c r="D6" s="73">
        <f aca="true" t="shared" si="0" ref="D6:I6">$E$3*D5</f>
        <v>8536.5</v>
      </c>
      <c r="E6" s="73">
        <f t="shared" si="0"/>
        <v>9756</v>
      </c>
      <c r="F6" s="73">
        <f t="shared" si="0"/>
        <v>10975.5</v>
      </c>
      <c r="G6" s="73">
        <f t="shared" si="0"/>
        <v>12195</v>
      </c>
      <c r="H6" s="73">
        <f t="shared" si="0"/>
        <v>14634</v>
      </c>
      <c r="I6" s="73">
        <f t="shared" si="0"/>
        <v>17073</v>
      </c>
      <c r="J6" s="4"/>
      <c r="K6" s="17"/>
    </row>
    <row r="7" spans="1:15" ht="15.75" thickBot="1">
      <c r="A7" s="109"/>
      <c r="B7" s="110"/>
      <c r="C7" s="110"/>
      <c r="D7" s="26"/>
      <c r="E7" s="26"/>
      <c r="F7" s="26"/>
      <c r="G7" s="26"/>
      <c r="H7" s="26"/>
      <c r="I7" s="26"/>
      <c r="J7" s="4"/>
      <c r="K7" s="17"/>
      <c r="M7" s="266"/>
      <c r="N7" s="266"/>
      <c r="O7" s="266"/>
    </row>
    <row r="8" spans="1:15" ht="25.5" customHeight="1" thickBot="1">
      <c r="A8" s="257" t="s">
        <v>27</v>
      </c>
      <c r="B8" s="258"/>
      <c r="C8" s="259"/>
      <c r="D8" s="27"/>
      <c r="E8" s="27"/>
      <c r="F8" s="27"/>
      <c r="G8" s="27"/>
      <c r="H8" s="27"/>
      <c r="I8" s="27"/>
      <c r="J8" s="4"/>
      <c r="K8" s="17"/>
      <c r="M8" s="238"/>
      <c r="N8" s="238"/>
      <c r="O8" s="238"/>
    </row>
    <row r="9" spans="1:15" ht="15">
      <c r="A9" s="120" t="s">
        <v>28</v>
      </c>
      <c r="B9" s="121"/>
      <c r="C9" s="121"/>
      <c r="D9" s="65">
        <v>998.71125</v>
      </c>
      <c r="E9" s="65">
        <v>1051.275</v>
      </c>
      <c r="F9" s="65">
        <v>1103.83875</v>
      </c>
      <c r="G9" s="65">
        <v>1156.4025</v>
      </c>
      <c r="H9" s="65">
        <v>1261.53</v>
      </c>
      <c r="I9" s="65">
        <v>1366.6575</v>
      </c>
      <c r="J9" s="4"/>
      <c r="K9" s="17"/>
      <c r="M9" s="239"/>
      <c r="N9" s="239"/>
      <c r="O9" s="239"/>
    </row>
    <row r="10" spans="1:15" ht="15">
      <c r="A10" s="117" t="s">
        <v>29</v>
      </c>
      <c r="B10" s="122"/>
      <c r="C10" s="122"/>
      <c r="D10" s="66">
        <v>1832.5</v>
      </c>
      <c r="E10" s="66">
        <v>2080</v>
      </c>
      <c r="F10" s="66">
        <v>2327.5</v>
      </c>
      <c r="G10" s="66">
        <v>2575</v>
      </c>
      <c r="H10" s="66">
        <v>3070</v>
      </c>
      <c r="I10" s="66">
        <v>3565</v>
      </c>
      <c r="J10" s="4"/>
      <c r="K10" s="17"/>
      <c r="M10" s="239"/>
      <c r="N10" s="239"/>
      <c r="O10" s="239"/>
    </row>
    <row r="11" spans="1:15" ht="15">
      <c r="A11" s="117" t="s">
        <v>30</v>
      </c>
      <c r="B11" s="122"/>
      <c r="C11" s="122"/>
      <c r="D11" s="66">
        <v>530</v>
      </c>
      <c r="E11" s="66">
        <v>530</v>
      </c>
      <c r="F11" s="66">
        <v>530</v>
      </c>
      <c r="G11" s="66">
        <v>530</v>
      </c>
      <c r="H11" s="66">
        <v>530</v>
      </c>
      <c r="I11" s="66">
        <v>530</v>
      </c>
      <c r="J11" s="4"/>
      <c r="K11" s="17"/>
      <c r="M11" s="239"/>
      <c r="N11" s="239"/>
      <c r="O11" s="239"/>
    </row>
    <row r="12" spans="1:15" ht="15">
      <c r="A12" s="117" t="s">
        <v>31</v>
      </c>
      <c r="B12" s="122"/>
      <c r="C12" s="122"/>
      <c r="D12" s="66">
        <v>1009.1162559999998</v>
      </c>
      <c r="E12" s="66">
        <v>1021.436256</v>
      </c>
      <c r="F12" s="66">
        <v>1033.756256</v>
      </c>
      <c r="G12" s="66">
        <v>1046.0762559999998</v>
      </c>
      <c r="H12" s="66">
        <v>1064.331256</v>
      </c>
      <c r="I12" s="66">
        <v>1082.586256</v>
      </c>
      <c r="J12" s="4"/>
      <c r="K12" s="17"/>
      <c r="M12" s="239"/>
      <c r="N12" s="239"/>
      <c r="O12" s="239"/>
    </row>
    <row r="13" spans="1:15" ht="15">
      <c r="A13" s="117" t="s">
        <v>32</v>
      </c>
      <c r="B13" s="122"/>
      <c r="C13" s="122"/>
      <c r="D13" s="66">
        <v>747.4653000000001</v>
      </c>
      <c r="E13" s="66">
        <v>750.5303</v>
      </c>
      <c r="F13" s="66">
        <v>753.5953000000001</v>
      </c>
      <c r="G13" s="66">
        <v>756.6603</v>
      </c>
      <c r="H13" s="66">
        <v>762.7903</v>
      </c>
      <c r="I13" s="66">
        <v>768.9203</v>
      </c>
      <c r="J13" s="4"/>
      <c r="K13" s="17"/>
      <c r="M13" s="239"/>
      <c r="N13" s="239"/>
      <c r="O13" s="239"/>
    </row>
    <row r="14" spans="1:15" ht="15">
      <c r="A14" s="117" t="s">
        <v>33</v>
      </c>
      <c r="B14" s="122"/>
      <c r="C14" s="122"/>
      <c r="D14" s="66">
        <v>722.5</v>
      </c>
      <c r="E14" s="66">
        <v>722.5</v>
      </c>
      <c r="F14" s="66">
        <v>722.5</v>
      </c>
      <c r="G14" s="66">
        <v>722.5</v>
      </c>
      <c r="H14" s="66">
        <v>722.5</v>
      </c>
      <c r="I14" s="66">
        <v>722.5</v>
      </c>
      <c r="J14" s="4"/>
      <c r="K14" s="17"/>
      <c r="M14" s="239"/>
      <c r="N14" s="239"/>
      <c r="O14" s="239"/>
    </row>
    <row r="15" spans="1:11" ht="12.75">
      <c r="A15" s="117" t="s">
        <v>34</v>
      </c>
      <c r="B15" s="122"/>
      <c r="C15" s="122"/>
      <c r="D15" s="66">
        <v>30</v>
      </c>
      <c r="E15" s="66">
        <v>30</v>
      </c>
      <c r="F15" s="66">
        <v>30</v>
      </c>
      <c r="G15" s="66">
        <v>30</v>
      </c>
      <c r="H15" s="66">
        <v>30</v>
      </c>
      <c r="I15" s="66">
        <v>30</v>
      </c>
      <c r="J15" s="4"/>
      <c r="K15" s="17"/>
    </row>
    <row r="16" spans="1:11" ht="12.75">
      <c r="A16" s="117" t="s">
        <v>35</v>
      </c>
      <c r="B16" s="122"/>
      <c r="C16" s="122"/>
      <c r="D16" s="66">
        <v>186.93675000000002</v>
      </c>
      <c r="E16" s="66">
        <v>213.642</v>
      </c>
      <c r="F16" s="66">
        <v>240.34724999999997</v>
      </c>
      <c r="G16" s="66">
        <v>267.0525</v>
      </c>
      <c r="H16" s="66">
        <v>320.463</v>
      </c>
      <c r="I16" s="66">
        <v>373.87350000000004</v>
      </c>
      <c r="J16" s="4"/>
      <c r="K16" s="17"/>
    </row>
    <row r="17" spans="1:11" ht="12.75">
      <c r="A17" s="117" t="s">
        <v>36</v>
      </c>
      <c r="B17" s="122"/>
      <c r="C17" s="122"/>
      <c r="D17" s="66">
        <v>470.0286705732019</v>
      </c>
      <c r="E17" s="66">
        <v>498.974491128149</v>
      </c>
      <c r="F17" s="66">
        <v>527.9203116830961</v>
      </c>
      <c r="G17" s="66">
        <v>556.8661322380431</v>
      </c>
      <c r="H17" s="66">
        <v>614.2915447973712</v>
      </c>
      <c r="I17" s="66">
        <v>671.7169573566994</v>
      </c>
      <c r="J17" s="4"/>
      <c r="K17" s="17"/>
    </row>
    <row r="18" spans="1:11" ht="12.75">
      <c r="A18" s="117" t="s">
        <v>37</v>
      </c>
      <c r="B18" s="122"/>
      <c r="C18" s="122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4"/>
      <c r="K18" s="17"/>
    </row>
    <row r="19" spans="1:11" ht="12.75">
      <c r="A19" s="117" t="s">
        <v>38</v>
      </c>
      <c r="B19" s="122"/>
      <c r="C19" s="122"/>
      <c r="D19" s="66">
        <v>379.81308750000005</v>
      </c>
      <c r="E19" s="66">
        <v>434.07210000000003</v>
      </c>
      <c r="F19" s="66">
        <v>488.3311125</v>
      </c>
      <c r="G19" s="66">
        <v>542.590125</v>
      </c>
      <c r="H19" s="66">
        <v>651.1081499999999</v>
      </c>
      <c r="I19" s="66">
        <v>759.6261750000001</v>
      </c>
      <c r="J19" s="4"/>
      <c r="K19" s="17"/>
    </row>
    <row r="20" spans="1:11" ht="12.75">
      <c r="A20" s="117" t="s">
        <v>39</v>
      </c>
      <c r="B20" s="122"/>
      <c r="C20" s="122"/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4"/>
      <c r="K20" s="17"/>
    </row>
    <row r="21" spans="1:11" ht="12.75">
      <c r="A21" s="117" t="s">
        <v>40</v>
      </c>
      <c r="B21" s="122"/>
      <c r="C21" s="122"/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4"/>
      <c r="K21" s="17"/>
    </row>
    <row r="22" spans="1:11" ht="12.75">
      <c r="A22" s="117" t="s">
        <v>41</v>
      </c>
      <c r="B22" s="122"/>
      <c r="C22" s="122"/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4"/>
      <c r="K22" s="17"/>
    </row>
    <row r="23" spans="1:11" ht="12.75">
      <c r="A23" s="117" t="s">
        <v>42</v>
      </c>
      <c r="B23" s="122"/>
      <c r="C23" s="122"/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4"/>
      <c r="K23" s="17"/>
    </row>
    <row r="24" spans="1:11" ht="13.5" thickBot="1">
      <c r="A24" s="117" t="s">
        <v>43</v>
      </c>
      <c r="B24" s="122"/>
      <c r="C24" s="122"/>
      <c r="D24" s="66">
        <v>362.621243988843</v>
      </c>
      <c r="E24" s="66">
        <v>384.95258272422785</v>
      </c>
      <c r="F24" s="66">
        <v>407.2839214596125</v>
      </c>
      <c r="G24" s="66">
        <v>429.61526019499723</v>
      </c>
      <c r="H24" s="66">
        <v>473.91824816686193</v>
      </c>
      <c r="I24" s="66">
        <v>518.2212361387266</v>
      </c>
      <c r="J24" s="4"/>
      <c r="K24" s="17"/>
    </row>
    <row r="25" spans="1:11" ht="25.5" customHeight="1" thickBot="1">
      <c r="A25" s="260" t="s">
        <v>44</v>
      </c>
      <c r="B25" s="261"/>
      <c r="C25" s="262"/>
      <c r="D25" s="67">
        <f aca="true" t="shared" si="1" ref="D25:I25">SUM(D9:D24)</f>
        <v>7269.692558062045</v>
      </c>
      <c r="E25" s="67">
        <f t="shared" si="1"/>
        <v>7717.382729852377</v>
      </c>
      <c r="F25" s="67">
        <f t="shared" si="1"/>
        <v>8165.072901642708</v>
      </c>
      <c r="G25" s="67">
        <f t="shared" si="1"/>
        <v>8612.76307343304</v>
      </c>
      <c r="H25" s="67">
        <f t="shared" si="1"/>
        <v>9500.932498964232</v>
      </c>
      <c r="I25" s="67">
        <f t="shared" si="1"/>
        <v>10389.101924495424</v>
      </c>
      <c r="J25" s="4"/>
      <c r="K25" s="17"/>
    </row>
    <row r="26" spans="1:11" ht="13.5" thickBot="1">
      <c r="A26" s="123"/>
      <c r="B26" s="124"/>
      <c r="C26" s="124"/>
      <c r="D26" s="68"/>
      <c r="E26" s="68"/>
      <c r="F26" s="68"/>
      <c r="G26" s="68"/>
      <c r="H26" s="68"/>
      <c r="I26" s="68"/>
      <c r="J26" s="4"/>
      <c r="K26" s="17"/>
    </row>
    <row r="27" spans="1:11" ht="13.5" thickBot="1">
      <c r="A27" s="263" t="s">
        <v>45</v>
      </c>
      <c r="B27" s="264"/>
      <c r="C27" s="265"/>
      <c r="D27" s="67">
        <v>2515.945781438091</v>
      </c>
      <c r="E27" s="67">
        <v>2515.945781438091</v>
      </c>
      <c r="F27" s="67">
        <v>2515.945781438091</v>
      </c>
      <c r="G27" s="67">
        <v>2515.945781438091</v>
      </c>
      <c r="H27" s="67">
        <v>2515.945781438091</v>
      </c>
      <c r="I27" s="67">
        <v>2515.945781438091</v>
      </c>
      <c r="J27" s="30"/>
      <c r="K27" s="17"/>
    </row>
    <row r="28" spans="1:11" ht="13.5" thickBot="1">
      <c r="A28" s="123"/>
      <c r="B28" s="124"/>
      <c r="C28" s="124"/>
      <c r="D28" s="68"/>
      <c r="E28" s="68"/>
      <c r="F28" s="68"/>
      <c r="G28" s="68"/>
      <c r="H28" s="68"/>
      <c r="I28" s="68"/>
      <c r="J28" s="4"/>
      <c r="K28" s="17"/>
    </row>
    <row r="29" spans="1:11" ht="27.75" customHeight="1" thickBot="1">
      <c r="A29" s="260" t="s">
        <v>46</v>
      </c>
      <c r="B29" s="261"/>
      <c r="C29" s="262"/>
      <c r="D29" s="67">
        <f aca="true" t="shared" si="2" ref="D29:I29">D25+D27</f>
        <v>9785.638339500136</v>
      </c>
      <c r="E29" s="67">
        <f t="shared" si="2"/>
        <v>10233.328511290469</v>
      </c>
      <c r="F29" s="67">
        <f t="shared" si="2"/>
        <v>10681.018683080798</v>
      </c>
      <c r="G29" s="67">
        <f t="shared" si="2"/>
        <v>11128.70885487113</v>
      </c>
      <c r="H29" s="67">
        <f t="shared" si="2"/>
        <v>12016.878280402323</v>
      </c>
      <c r="I29" s="67">
        <f t="shared" si="2"/>
        <v>12905.047705933515</v>
      </c>
      <c r="J29" s="4"/>
      <c r="K29" s="4"/>
    </row>
    <row r="30" spans="1:11" ht="13.5" thickBot="1">
      <c r="A30" s="118"/>
      <c r="B30" s="119"/>
      <c r="C30" s="119"/>
      <c r="D30" s="70"/>
      <c r="E30" s="70"/>
      <c r="F30" s="70"/>
      <c r="G30" s="70"/>
      <c r="H30" s="70"/>
      <c r="I30" s="70"/>
      <c r="J30" s="4"/>
      <c r="K30" s="4"/>
    </row>
    <row r="31" spans="1:11" ht="25.5" customHeight="1" thickBot="1">
      <c r="A31" s="260" t="s">
        <v>47</v>
      </c>
      <c r="B31" s="279"/>
      <c r="C31" s="280"/>
      <c r="D31" s="67">
        <f aca="true" t="shared" si="3" ref="D31:I31">D29/D5</f>
        <v>2795.89666842861</v>
      </c>
      <c r="E31" s="67">
        <f t="shared" si="3"/>
        <v>2558.332127822617</v>
      </c>
      <c r="F31" s="67">
        <f t="shared" si="3"/>
        <v>2373.5597073512886</v>
      </c>
      <c r="G31" s="67">
        <f t="shared" si="3"/>
        <v>2225.7417709742263</v>
      </c>
      <c r="H31" s="67">
        <f t="shared" si="3"/>
        <v>2002.8130467337205</v>
      </c>
      <c r="I31" s="67">
        <f t="shared" si="3"/>
        <v>1843.5782437047878</v>
      </c>
      <c r="J31" s="4"/>
      <c r="K31" s="4"/>
    </row>
    <row r="32" spans="1:11" ht="13.5" thickBot="1">
      <c r="A32" s="109"/>
      <c r="B32" s="110"/>
      <c r="C32" s="110"/>
      <c r="D32" s="70"/>
      <c r="E32" s="70"/>
      <c r="F32" s="70"/>
      <c r="G32" s="70"/>
      <c r="H32" s="70"/>
      <c r="I32" s="70"/>
      <c r="J32" s="4"/>
      <c r="K32" s="17"/>
    </row>
    <row r="33" spans="1:11" ht="13.5" thickBot="1">
      <c r="A33" s="112" t="s">
        <v>48</v>
      </c>
      <c r="B33" s="113"/>
      <c r="C33" s="113"/>
      <c r="D33" s="67">
        <f>'Pryse + Sensatiwiteitsanali'!D4</f>
        <v>261</v>
      </c>
      <c r="E33" s="67">
        <f>$D$33</f>
        <v>261</v>
      </c>
      <c r="F33" s="67">
        <f>$D$33</f>
        <v>261</v>
      </c>
      <c r="G33" s="67">
        <f>$D$33</f>
        <v>261</v>
      </c>
      <c r="H33" s="67">
        <f>$D$33</f>
        <v>261</v>
      </c>
      <c r="I33" s="67">
        <f>$D$33</f>
        <v>261</v>
      </c>
      <c r="J33" s="4"/>
      <c r="K33" s="17"/>
    </row>
    <row r="34" spans="1:11" ht="13.5" thickBot="1">
      <c r="A34" s="109"/>
      <c r="B34" s="110"/>
      <c r="C34" s="110"/>
      <c r="D34" s="70"/>
      <c r="E34" s="70"/>
      <c r="F34" s="70"/>
      <c r="G34" s="70"/>
      <c r="H34" s="70"/>
      <c r="I34" s="70"/>
      <c r="J34" s="4"/>
      <c r="K34" s="17"/>
    </row>
    <row r="35" spans="1:11" ht="26.25" customHeight="1" thickBot="1">
      <c r="A35" s="281" t="s">
        <v>49</v>
      </c>
      <c r="B35" s="282"/>
      <c r="C35" s="283"/>
      <c r="D35" s="69">
        <f aca="true" t="shared" si="4" ref="D35:I35">D31+D33</f>
        <v>3056.89666842861</v>
      </c>
      <c r="E35" s="69">
        <f t="shared" si="4"/>
        <v>2819.332127822617</v>
      </c>
      <c r="F35" s="69">
        <f t="shared" si="4"/>
        <v>2634.5597073512886</v>
      </c>
      <c r="G35" s="69">
        <f t="shared" si="4"/>
        <v>2486.7417709742263</v>
      </c>
      <c r="H35" s="69">
        <f t="shared" si="4"/>
        <v>2263.8130467337205</v>
      </c>
      <c r="I35" s="69">
        <f t="shared" si="4"/>
        <v>2104.578243704788</v>
      </c>
      <c r="J35" s="4"/>
      <c r="K35" s="17"/>
    </row>
    <row r="36" spans="1:11" ht="13.5" thickBot="1">
      <c r="A36" s="107" t="s">
        <v>50</v>
      </c>
      <c r="B36" s="108"/>
      <c r="C36" s="7"/>
      <c r="D36" s="69">
        <f>'Pryse + Sensatiwiteitsanali'!B4</f>
        <v>2700</v>
      </c>
      <c r="E36" s="69">
        <f>$D$36</f>
        <v>2700</v>
      </c>
      <c r="F36" s="69">
        <f>$D$36</f>
        <v>2700</v>
      </c>
      <c r="G36" s="69">
        <f>$D$36</f>
        <v>2700</v>
      </c>
      <c r="H36" s="69">
        <f>$D$36</f>
        <v>2700</v>
      </c>
      <c r="I36" s="69">
        <f>$D$36</f>
        <v>2700</v>
      </c>
      <c r="J36" s="17"/>
      <c r="K36" s="4"/>
    </row>
    <row r="37" spans="9:10" ht="12.75">
      <c r="I37" s="4"/>
      <c r="J37" s="4"/>
    </row>
    <row r="38" spans="1:10" ht="13.5" thickBot="1">
      <c r="A38" s="4"/>
      <c r="B38" s="32"/>
      <c r="C38" s="4"/>
      <c r="D38" s="4"/>
      <c r="E38" s="4"/>
      <c r="F38" s="4"/>
      <c r="G38" s="4"/>
      <c r="H38" s="4"/>
      <c r="I38" s="17"/>
      <c r="J38" s="4"/>
    </row>
    <row r="39" spans="1:10" ht="12.75">
      <c r="A39" s="1" t="s">
        <v>12</v>
      </c>
      <c r="B39" s="33"/>
      <c r="C39" s="34"/>
      <c r="D39" s="34"/>
      <c r="E39" s="34"/>
      <c r="F39" s="34"/>
      <c r="G39" s="34"/>
      <c r="H39" s="35"/>
      <c r="I39" s="17"/>
      <c r="J39" s="4"/>
    </row>
    <row r="40" spans="1:10" ht="12.75">
      <c r="A40" s="36" t="s">
        <v>1</v>
      </c>
      <c r="B40" s="37"/>
      <c r="C40" s="38"/>
      <c r="D40" s="39"/>
      <c r="E40" s="39"/>
      <c r="F40" s="39"/>
      <c r="G40" s="39"/>
      <c r="H40" s="40"/>
      <c r="I40" s="17"/>
      <c r="J40" s="4"/>
    </row>
    <row r="41" spans="1:16" ht="13.5" thickBot="1">
      <c r="A41" s="41" t="s">
        <v>0</v>
      </c>
      <c r="B41" s="42"/>
      <c r="C41" s="43"/>
      <c r="D41" s="43"/>
      <c r="E41" s="43"/>
      <c r="F41" s="43"/>
      <c r="G41" s="44"/>
      <c r="H41" s="45"/>
      <c r="I41" s="17"/>
      <c r="J41" s="4"/>
      <c r="P41" s="71"/>
    </row>
    <row r="42" spans="1:10" ht="13.5" thickBot="1">
      <c r="A42" s="46"/>
      <c r="B42" s="11"/>
      <c r="C42" s="47" t="s">
        <v>2</v>
      </c>
      <c r="D42" s="48"/>
      <c r="E42" s="48"/>
      <c r="F42" s="48"/>
      <c r="G42" s="49"/>
      <c r="H42" s="50"/>
      <c r="I42" s="17"/>
      <c r="J42" s="4"/>
    </row>
    <row r="43" spans="1:10" ht="13.5" thickBot="1">
      <c r="A43" s="5"/>
      <c r="B43" s="32"/>
      <c r="C43" s="4"/>
      <c r="D43" s="4"/>
      <c r="E43" s="4"/>
      <c r="F43" s="4"/>
      <c r="G43" s="4"/>
      <c r="H43" s="51"/>
      <c r="I43" s="17"/>
      <c r="J43" s="4"/>
    </row>
    <row r="44" spans="1:10" ht="13.5" thickBot="1">
      <c r="A44" s="5"/>
      <c r="B44" s="52"/>
      <c r="C44" s="53">
        <v>2539</v>
      </c>
      <c r="D44" s="53">
        <v>2639</v>
      </c>
      <c r="E44" s="54">
        <v>2739</v>
      </c>
      <c r="F44" s="53">
        <v>2839</v>
      </c>
      <c r="G44" s="55">
        <v>2939</v>
      </c>
      <c r="H44" s="51"/>
      <c r="I44" s="17"/>
      <c r="J44" s="4"/>
    </row>
    <row r="45" spans="1:10" ht="12.75">
      <c r="A45" s="5"/>
      <c r="B45" s="56">
        <v>3.5</v>
      </c>
      <c r="C45" s="79">
        <v>-899.1383395001358</v>
      </c>
      <c r="D45" s="80">
        <v>-549.1383395001358</v>
      </c>
      <c r="E45" s="80">
        <v>-199.13833950013577</v>
      </c>
      <c r="F45" s="80">
        <v>150.86166049986423</v>
      </c>
      <c r="G45" s="81">
        <v>500.86166049986423</v>
      </c>
      <c r="H45" s="51"/>
      <c r="I45" s="17"/>
      <c r="J45" s="4"/>
    </row>
    <row r="46" spans="1:10" ht="12.75">
      <c r="A46" s="5"/>
      <c r="B46" s="57"/>
      <c r="C46" s="82"/>
      <c r="D46" s="75"/>
      <c r="E46" s="75"/>
      <c r="F46" s="75"/>
      <c r="G46" s="76"/>
      <c r="H46" s="51"/>
      <c r="I46" s="17"/>
      <c r="J46" s="4"/>
    </row>
    <row r="47" spans="1:10" ht="12.75">
      <c r="A47" s="5"/>
      <c r="B47" s="56">
        <v>4</v>
      </c>
      <c r="C47" s="82">
        <v>-77.32851129046867</v>
      </c>
      <c r="D47" s="75">
        <v>322.67148870953133</v>
      </c>
      <c r="E47" s="75">
        <v>722.6714887095313</v>
      </c>
      <c r="F47" s="75">
        <v>1122.6714887095313</v>
      </c>
      <c r="G47" s="76">
        <v>1522.6714887095313</v>
      </c>
      <c r="H47" s="51"/>
      <c r="I47" s="17"/>
      <c r="J47" s="4"/>
    </row>
    <row r="48" spans="1:10" ht="13.5" thickBot="1">
      <c r="A48" s="58"/>
      <c r="B48" s="57"/>
      <c r="C48" s="82"/>
      <c r="D48" s="75"/>
      <c r="E48" s="75"/>
      <c r="F48" s="75"/>
      <c r="G48" s="76"/>
      <c r="H48" s="51"/>
      <c r="I48" s="17"/>
      <c r="J48" s="4"/>
    </row>
    <row r="49" spans="1:10" ht="13.5" thickBot="1">
      <c r="A49" s="59" t="s">
        <v>4</v>
      </c>
      <c r="B49" s="60">
        <v>4.5</v>
      </c>
      <c r="C49" s="82">
        <v>744.4813169192021</v>
      </c>
      <c r="D49" s="75">
        <v>1194.481316919202</v>
      </c>
      <c r="E49" s="84">
        <v>1644.481316919202</v>
      </c>
      <c r="F49" s="75">
        <v>2094.481316919202</v>
      </c>
      <c r="G49" s="76">
        <v>2544.481316919202</v>
      </c>
      <c r="H49" s="51"/>
      <c r="I49" s="17"/>
      <c r="J49" s="4"/>
    </row>
    <row r="50" spans="1:10" ht="12.75">
      <c r="A50" s="5"/>
      <c r="B50" s="57"/>
      <c r="C50" s="82"/>
      <c r="D50" s="75"/>
      <c r="E50" s="75"/>
      <c r="F50" s="75"/>
      <c r="G50" s="76"/>
      <c r="H50" s="51"/>
      <c r="I50" s="17"/>
      <c r="J50" s="4"/>
    </row>
    <row r="51" spans="1:10" ht="12.75">
      <c r="A51" s="5"/>
      <c r="B51" s="56">
        <v>5</v>
      </c>
      <c r="C51" s="82">
        <v>1566.2911451288692</v>
      </c>
      <c r="D51" s="75">
        <v>2066.291145128869</v>
      </c>
      <c r="E51" s="75">
        <v>2566.291145128869</v>
      </c>
      <c r="F51" s="75">
        <v>3066.291145128869</v>
      </c>
      <c r="G51" s="76">
        <v>3566.291145128869</v>
      </c>
      <c r="H51" s="51"/>
      <c r="I51" s="17"/>
      <c r="J51" s="4"/>
    </row>
    <row r="52" spans="1:10" ht="12.75">
      <c r="A52" s="5"/>
      <c r="B52" s="57"/>
      <c r="C52" s="82"/>
      <c r="D52" s="75"/>
      <c r="E52" s="75"/>
      <c r="F52" s="75"/>
      <c r="G52" s="76"/>
      <c r="H52" s="51"/>
      <c r="I52" s="17"/>
      <c r="J52" s="4"/>
    </row>
    <row r="53" spans="1:10" ht="12.75">
      <c r="A53" s="5"/>
      <c r="B53" s="56">
        <v>6</v>
      </c>
      <c r="C53" s="82">
        <v>3217.121719597677</v>
      </c>
      <c r="D53" s="75">
        <v>3817.121719597677</v>
      </c>
      <c r="E53" s="75">
        <v>4417.121719597677</v>
      </c>
      <c r="F53" s="75">
        <v>5017.121719597677</v>
      </c>
      <c r="G53" s="76">
        <v>5617.121719597677</v>
      </c>
      <c r="H53" s="51"/>
      <c r="I53" s="17"/>
      <c r="J53" s="4"/>
    </row>
    <row r="54" spans="1:10" ht="12.75">
      <c r="A54" s="5"/>
      <c r="B54" s="57"/>
      <c r="C54" s="82"/>
      <c r="D54" s="75"/>
      <c r="E54" s="75"/>
      <c r="F54" s="75"/>
      <c r="G54" s="76"/>
      <c r="H54" s="51"/>
      <c r="I54" s="17"/>
      <c r="J54" s="4"/>
    </row>
    <row r="55" spans="1:9" ht="13.5" thickBot="1">
      <c r="A55" s="5"/>
      <c r="B55" s="61">
        <v>7</v>
      </c>
      <c r="C55" s="86">
        <v>4867.952294066485</v>
      </c>
      <c r="D55" s="87">
        <v>5567.952294066485</v>
      </c>
      <c r="E55" s="87">
        <v>6267.952294066485</v>
      </c>
      <c r="F55" s="87">
        <v>6967.952294066485</v>
      </c>
      <c r="G55" s="88">
        <v>7667.952294066485</v>
      </c>
      <c r="H55" s="51"/>
      <c r="I55" s="17"/>
    </row>
    <row r="56" spans="1:8" ht="13.5" thickBot="1">
      <c r="A56" s="62"/>
      <c r="B56" s="13"/>
      <c r="C56" s="13"/>
      <c r="D56" s="13"/>
      <c r="E56" s="13"/>
      <c r="F56" s="13"/>
      <c r="G56" s="13"/>
      <c r="H56" s="6"/>
    </row>
    <row r="57" spans="1:10" ht="15">
      <c r="A57" s="132" t="s">
        <v>55</v>
      </c>
      <c r="B57" s="133"/>
      <c r="C57" s="133"/>
      <c r="D57" s="133"/>
      <c r="E57" s="133"/>
      <c r="F57" s="133"/>
      <c r="G57" s="133"/>
      <c r="H57" s="134"/>
      <c r="I57" s="131"/>
      <c r="J57" s="131"/>
    </row>
    <row r="58" spans="1:10" ht="15">
      <c r="A58" s="135" t="s">
        <v>56</v>
      </c>
      <c r="B58" s="136"/>
      <c r="C58" s="136"/>
      <c r="D58" s="136"/>
      <c r="E58" s="136"/>
      <c r="F58" s="136"/>
      <c r="G58" s="136"/>
      <c r="H58" s="137"/>
      <c r="I58" s="131"/>
      <c r="J58" s="131"/>
    </row>
    <row r="59" spans="1:10" ht="15.75" thickBot="1">
      <c r="A59" s="138" t="s">
        <v>57</v>
      </c>
      <c r="B59" s="139"/>
      <c r="C59" s="139"/>
      <c r="D59" s="139"/>
      <c r="E59" s="139"/>
      <c r="F59" s="139"/>
      <c r="G59" s="139"/>
      <c r="H59" s="140"/>
      <c r="I59" s="131"/>
      <c r="J59" s="131"/>
    </row>
    <row r="60" spans="1:8" ht="12.75">
      <c r="A60" s="267" t="s">
        <v>58</v>
      </c>
      <c r="B60" s="268"/>
      <c r="C60" s="268"/>
      <c r="D60" s="268"/>
      <c r="E60" s="268"/>
      <c r="F60" s="268"/>
      <c r="G60" s="268"/>
      <c r="H60" s="269"/>
    </row>
    <row r="61" spans="1:8" ht="12.75">
      <c r="A61" s="270"/>
      <c r="B61" s="271"/>
      <c r="C61" s="271"/>
      <c r="D61" s="271"/>
      <c r="E61" s="271"/>
      <c r="F61" s="271"/>
      <c r="G61" s="271"/>
      <c r="H61" s="272"/>
    </row>
    <row r="62" spans="1:8" ht="12.75">
      <c r="A62" s="270"/>
      <c r="B62" s="271"/>
      <c r="C62" s="271"/>
      <c r="D62" s="271"/>
      <c r="E62" s="271"/>
      <c r="F62" s="271"/>
      <c r="G62" s="271"/>
      <c r="H62" s="272"/>
    </row>
    <row r="63" spans="1:8" ht="13.5" thickBot="1">
      <c r="A63" s="273"/>
      <c r="B63" s="274"/>
      <c r="C63" s="274"/>
      <c r="D63" s="274"/>
      <c r="E63" s="274"/>
      <c r="F63" s="274"/>
      <c r="G63" s="274"/>
      <c r="H63" s="275"/>
    </row>
  </sheetData>
  <sheetProtection/>
  <mergeCells count="11">
    <mergeCell ref="A1:D1"/>
    <mergeCell ref="E1:G1"/>
    <mergeCell ref="A31:C31"/>
    <mergeCell ref="A35:C35"/>
    <mergeCell ref="A3:C3"/>
    <mergeCell ref="A8:C8"/>
    <mergeCell ref="A25:C25"/>
    <mergeCell ref="A27:C27"/>
    <mergeCell ref="A29:C29"/>
    <mergeCell ref="M7:O7"/>
    <mergeCell ref="A60:H63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0" r:id="rId2"/>
  <headerFooter>
    <oddHeader>&amp;C&amp;F</oddHeader>
    <oddFooter>&amp;C&amp;A&amp;RPage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12" width="12.7109375" style="2" customWidth="1"/>
    <col min="13" max="15" width="12.7109375" style="2" hidden="1" customWidth="1"/>
    <col min="16" max="26" width="12.7109375" style="2" customWidth="1"/>
    <col min="27" max="16384" width="9.140625" style="2" customWidth="1"/>
  </cols>
  <sheetData>
    <row r="1" spans="1:10" s="4" customFormat="1" ht="50.25" customHeight="1" thickBot="1">
      <c r="A1" s="284" t="s">
        <v>18</v>
      </c>
      <c r="B1" s="285"/>
      <c r="C1" s="285"/>
      <c r="D1" s="285"/>
      <c r="E1" s="286" t="s">
        <v>23</v>
      </c>
      <c r="F1" s="286"/>
      <c r="G1" s="286"/>
      <c r="H1" s="3"/>
      <c r="I1" s="18"/>
      <c r="J1" s="17"/>
    </row>
    <row r="2" spans="1:10" ht="16.5" thickBot="1">
      <c r="A2" s="19"/>
      <c r="B2" s="20"/>
      <c r="C2" s="21"/>
      <c r="D2" s="21"/>
      <c r="E2" s="13"/>
      <c r="F2" s="13"/>
      <c r="G2" s="13"/>
      <c r="H2" s="13"/>
      <c r="I2" s="6"/>
      <c r="J2" s="4"/>
    </row>
    <row r="3" spans="1:11" ht="29.25" customHeight="1" thickBot="1">
      <c r="A3" s="281" t="s">
        <v>24</v>
      </c>
      <c r="B3" s="282"/>
      <c r="C3" s="282"/>
      <c r="D3" s="64"/>
      <c r="E3" s="77">
        <f>'Pryse + Sensatiwiteitsanali'!B24</f>
        <v>2439</v>
      </c>
      <c r="F3" s="64" t="s">
        <v>3</v>
      </c>
      <c r="G3" s="22"/>
      <c r="H3" s="22"/>
      <c r="I3" s="7"/>
      <c r="K3" s="4"/>
    </row>
    <row r="4" spans="1:11" ht="13.5" thickBot="1">
      <c r="A4" s="111"/>
      <c r="B4" s="9"/>
      <c r="C4" s="9"/>
      <c r="D4" s="93"/>
      <c r="E4" s="74"/>
      <c r="F4" s="94"/>
      <c r="G4" s="95"/>
      <c r="H4" s="96"/>
      <c r="I4" s="96"/>
      <c r="J4" s="4"/>
      <c r="K4" s="17"/>
    </row>
    <row r="5" spans="1:11" ht="13.5" thickBot="1">
      <c r="A5" s="115" t="s">
        <v>25</v>
      </c>
      <c r="B5" s="9"/>
      <c r="C5" s="9"/>
      <c r="D5" s="97">
        <v>3.5</v>
      </c>
      <c r="E5" s="97">
        <v>4</v>
      </c>
      <c r="F5" s="97">
        <v>4.5</v>
      </c>
      <c r="G5" s="97">
        <v>5</v>
      </c>
      <c r="H5" s="97">
        <v>6</v>
      </c>
      <c r="I5" s="97">
        <v>7</v>
      </c>
      <c r="J5" s="4"/>
      <c r="K5" s="17"/>
    </row>
    <row r="6" spans="1:11" ht="13.5" thickBot="1">
      <c r="A6" s="116" t="s">
        <v>26</v>
      </c>
      <c r="B6" s="113"/>
      <c r="C6" s="114"/>
      <c r="D6" s="73">
        <f aca="true" t="shared" si="0" ref="D6:I6">$E$3*D5</f>
        <v>8536.5</v>
      </c>
      <c r="E6" s="73">
        <f t="shared" si="0"/>
        <v>9756</v>
      </c>
      <c r="F6" s="73">
        <f t="shared" si="0"/>
        <v>10975.5</v>
      </c>
      <c r="G6" s="73">
        <f t="shared" si="0"/>
        <v>12195</v>
      </c>
      <c r="H6" s="73">
        <f t="shared" si="0"/>
        <v>14634</v>
      </c>
      <c r="I6" s="73">
        <f t="shared" si="0"/>
        <v>17073</v>
      </c>
      <c r="J6" s="4"/>
      <c r="K6" s="17"/>
    </row>
    <row r="7" spans="1:15" ht="15.75" thickBot="1">
      <c r="A7" s="109"/>
      <c r="B7" s="110"/>
      <c r="C7" s="110"/>
      <c r="D7" s="26"/>
      <c r="E7" s="26"/>
      <c r="F7" s="26"/>
      <c r="G7" s="26"/>
      <c r="H7" s="26"/>
      <c r="I7" s="26"/>
      <c r="J7" s="4"/>
      <c r="K7" s="17"/>
      <c r="M7" s="266" t="s">
        <v>126</v>
      </c>
      <c r="N7" s="266"/>
      <c r="O7" s="266"/>
    </row>
    <row r="8" spans="1:15" ht="26.25" customHeight="1" thickBot="1">
      <c r="A8" s="257" t="s">
        <v>27</v>
      </c>
      <c r="B8" s="258"/>
      <c r="C8" s="259"/>
      <c r="D8" s="27"/>
      <c r="E8" s="27"/>
      <c r="F8" s="27"/>
      <c r="G8" s="27"/>
      <c r="H8" s="27"/>
      <c r="I8" s="27"/>
      <c r="J8" s="4"/>
      <c r="K8" s="17"/>
      <c r="M8" s="238" t="s">
        <v>120</v>
      </c>
      <c r="N8" s="238" t="s">
        <v>121</v>
      </c>
      <c r="O8" s="238" t="s">
        <v>122</v>
      </c>
    </row>
    <row r="9" spans="1:15" ht="15">
      <c r="A9" s="120" t="s">
        <v>28</v>
      </c>
      <c r="B9" s="121"/>
      <c r="C9" s="121"/>
      <c r="D9" s="65">
        <v>1030.273125</v>
      </c>
      <c r="E9" s="65">
        <v>1079.3337499999998</v>
      </c>
      <c r="F9" s="65">
        <v>1128.3943749999999</v>
      </c>
      <c r="G9" s="65">
        <v>1177.455</v>
      </c>
      <c r="H9" s="65">
        <v>1177.455</v>
      </c>
      <c r="I9" s="65">
        <v>1177.455</v>
      </c>
      <c r="J9" s="4"/>
      <c r="K9" s="17"/>
      <c r="M9" s="239">
        <f>D5</f>
        <v>3.5</v>
      </c>
      <c r="N9" s="239">
        <f>D25</f>
        <v>6063.457687531885</v>
      </c>
      <c r="O9" s="239">
        <f>D27</f>
        <v>1387.329231766467</v>
      </c>
    </row>
    <row r="10" spans="1:15" ht="15">
      <c r="A10" s="117" t="s">
        <v>29</v>
      </c>
      <c r="B10" s="122"/>
      <c r="C10" s="122"/>
      <c r="D10" s="66">
        <v>1832.5</v>
      </c>
      <c r="E10" s="66">
        <v>2080</v>
      </c>
      <c r="F10" s="66">
        <v>2327.5</v>
      </c>
      <c r="G10" s="66">
        <v>2575</v>
      </c>
      <c r="H10" s="66">
        <v>3070</v>
      </c>
      <c r="I10" s="66">
        <v>3565</v>
      </c>
      <c r="J10" s="4"/>
      <c r="K10" s="17"/>
      <c r="M10" s="239">
        <f>E5</f>
        <v>4</v>
      </c>
      <c r="N10" s="239">
        <f>E25</f>
        <v>6507.191595063478</v>
      </c>
      <c r="O10" s="239">
        <f>E27</f>
        <v>1387.329231766467</v>
      </c>
    </row>
    <row r="11" spans="1:15" ht="15">
      <c r="A11" s="117" t="s">
        <v>30</v>
      </c>
      <c r="B11" s="122"/>
      <c r="C11" s="122"/>
      <c r="D11" s="66">
        <v>176.66666666666666</v>
      </c>
      <c r="E11" s="66">
        <v>176.66666666666666</v>
      </c>
      <c r="F11" s="66">
        <v>176.66666666666666</v>
      </c>
      <c r="G11" s="66">
        <v>176.66666666666666</v>
      </c>
      <c r="H11" s="66">
        <v>176.66666666666666</v>
      </c>
      <c r="I11" s="66">
        <v>176.66666666666666</v>
      </c>
      <c r="J11" s="4"/>
      <c r="K11" s="17"/>
      <c r="M11" s="239">
        <f>F5</f>
        <v>4.5</v>
      </c>
      <c r="N11" s="239">
        <f>F25</f>
        <v>6950.9255025950715</v>
      </c>
      <c r="O11" s="239">
        <f>F27</f>
        <v>1387.329231766467</v>
      </c>
    </row>
    <row r="12" spans="1:15" ht="15">
      <c r="A12" s="117" t="s">
        <v>31</v>
      </c>
      <c r="B12" s="122"/>
      <c r="C12" s="122"/>
      <c r="D12" s="66">
        <v>384.059356</v>
      </c>
      <c r="E12" s="66">
        <v>396.37935600000003</v>
      </c>
      <c r="F12" s="66">
        <v>408.69935599999997</v>
      </c>
      <c r="G12" s="66">
        <v>421.019356</v>
      </c>
      <c r="H12" s="66">
        <v>439.274356</v>
      </c>
      <c r="I12" s="66">
        <v>457.529356</v>
      </c>
      <c r="J12" s="4"/>
      <c r="K12" s="17"/>
      <c r="M12" s="239">
        <f>G5</f>
        <v>5</v>
      </c>
      <c r="N12" s="239">
        <f>G25</f>
        <v>7394.659410126663</v>
      </c>
      <c r="O12" s="239">
        <f>G27</f>
        <v>1387.329231766467</v>
      </c>
    </row>
    <row r="13" spans="1:15" ht="15">
      <c r="A13" s="117" t="s">
        <v>32</v>
      </c>
      <c r="B13" s="122"/>
      <c r="C13" s="122"/>
      <c r="D13" s="66">
        <v>313.905</v>
      </c>
      <c r="E13" s="66">
        <v>316.97</v>
      </c>
      <c r="F13" s="66">
        <v>320.03499999999997</v>
      </c>
      <c r="G13" s="66">
        <v>323.1</v>
      </c>
      <c r="H13" s="66">
        <v>329.23</v>
      </c>
      <c r="I13" s="66">
        <v>335.36</v>
      </c>
      <c r="J13" s="4"/>
      <c r="K13" s="17"/>
      <c r="M13" s="239">
        <f>H5</f>
        <v>6</v>
      </c>
      <c r="N13" s="239">
        <f>H25</f>
        <v>8164.102792236443</v>
      </c>
      <c r="O13" s="239">
        <f>H27</f>
        <v>1387.329231766467</v>
      </c>
    </row>
    <row r="14" spans="1:15" ht="15">
      <c r="A14" s="117" t="s">
        <v>33</v>
      </c>
      <c r="B14" s="122"/>
      <c r="C14" s="122"/>
      <c r="D14" s="66">
        <v>1064.8125</v>
      </c>
      <c r="E14" s="66">
        <v>1064.8125</v>
      </c>
      <c r="F14" s="66">
        <v>1064.8125</v>
      </c>
      <c r="G14" s="66">
        <v>1064.8125</v>
      </c>
      <c r="H14" s="66">
        <v>1064.8125</v>
      </c>
      <c r="I14" s="66">
        <v>1064.8125</v>
      </c>
      <c r="J14" s="4"/>
      <c r="K14" s="17"/>
      <c r="M14" s="239">
        <f>I5</f>
        <v>7</v>
      </c>
      <c r="N14" s="239">
        <f>I25</f>
        <v>8933.546174346222</v>
      </c>
      <c r="O14" s="239">
        <f>I27</f>
        <v>1387.329231766467</v>
      </c>
    </row>
    <row r="15" spans="1:11" ht="12.75">
      <c r="A15" s="117" t="s">
        <v>34</v>
      </c>
      <c r="B15" s="122"/>
      <c r="C15" s="122"/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4"/>
      <c r="K15" s="17"/>
    </row>
    <row r="16" spans="1:11" ht="12.75">
      <c r="A16" s="117" t="s">
        <v>35</v>
      </c>
      <c r="B16" s="122"/>
      <c r="C16" s="122"/>
      <c r="D16" s="66">
        <v>186.93675000000002</v>
      </c>
      <c r="E16" s="66">
        <v>213.642</v>
      </c>
      <c r="F16" s="66">
        <v>240.34724999999997</v>
      </c>
      <c r="G16" s="66">
        <v>267.0525</v>
      </c>
      <c r="H16" s="66">
        <v>320.463</v>
      </c>
      <c r="I16" s="66">
        <v>373.87350000000004</v>
      </c>
      <c r="J16" s="4"/>
      <c r="K16" s="17"/>
    </row>
    <row r="17" spans="1:11" ht="12.75">
      <c r="A17" s="117" t="s">
        <v>36</v>
      </c>
      <c r="B17" s="122"/>
      <c r="C17" s="122"/>
      <c r="D17" s="66">
        <v>392.0384436047219</v>
      </c>
      <c r="E17" s="66">
        <v>420.72846824875256</v>
      </c>
      <c r="F17" s="66">
        <v>449.4184928927832</v>
      </c>
      <c r="G17" s="66">
        <v>478.10851753681385</v>
      </c>
      <c r="H17" s="66">
        <v>527.8575883655835</v>
      </c>
      <c r="I17" s="66">
        <v>577.6066591943533</v>
      </c>
      <c r="J17" s="4"/>
      <c r="K17" s="17"/>
    </row>
    <row r="18" spans="1:11" ht="12.75">
      <c r="A18" s="117" t="s">
        <v>37</v>
      </c>
      <c r="B18" s="122"/>
      <c r="C18" s="122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4"/>
      <c r="K18" s="17"/>
    </row>
    <row r="19" spans="1:11" ht="12.75">
      <c r="A19" s="117" t="s">
        <v>38</v>
      </c>
      <c r="B19" s="122"/>
      <c r="C19" s="122"/>
      <c r="D19" s="66">
        <v>379.81308750000005</v>
      </c>
      <c r="E19" s="66">
        <v>434.07210000000003</v>
      </c>
      <c r="F19" s="66">
        <v>488.3311125</v>
      </c>
      <c r="G19" s="66">
        <v>542.590125</v>
      </c>
      <c r="H19" s="66">
        <v>651.1081499999999</v>
      </c>
      <c r="I19" s="66">
        <v>759.6261750000001</v>
      </c>
      <c r="J19" s="4"/>
      <c r="K19" s="17"/>
    </row>
    <row r="20" spans="1:11" ht="12.75">
      <c r="A20" s="117" t="s">
        <v>39</v>
      </c>
      <c r="B20" s="122"/>
      <c r="C20" s="122"/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4"/>
      <c r="K20" s="17"/>
    </row>
    <row r="21" spans="1:11" ht="12.75">
      <c r="A21" s="117" t="s">
        <v>40</v>
      </c>
      <c r="B21" s="122"/>
      <c r="C21" s="122"/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4"/>
      <c r="K21" s="17"/>
    </row>
    <row r="22" spans="1:11" ht="12.75">
      <c r="A22" s="117" t="s">
        <v>41</v>
      </c>
      <c r="B22" s="122"/>
      <c r="C22" s="122"/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4"/>
      <c r="K22" s="17"/>
    </row>
    <row r="23" spans="1:11" ht="12.75">
      <c r="A23" s="117" t="s">
        <v>42</v>
      </c>
      <c r="B23" s="122"/>
      <c r="C23" s="122"/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4"/>
      <c r="K23" s="17"/>
    </row>
    <row r="24" spans="1:11" ht="13.5" thickBot="1">
      <c r="A24" s="117" t="s">
        <v>43</v>
      </c>
      <c r="B24" s="122"/>
      <c r="C24" s="122"/>
      <c r="D24" s="66">
        <v>302.45275876049783</v>
      </c>
      <c r="E24" s="66">
        <v>324.58675414805947</v>
      </c>
      <c r="F24" s="66">
        <v>346.7207495356211</v>
      </c>
      <c r="G24" s="66">
        <v>368.85474492318264</v>
      </c>
      <c r="H24" s="66">
        <v>407.23553120419314</v>
      </c>
      <c r="I24" s="66">
        <v>445.6163174852035</v>
      </c>
      <c r="J24" s="4"/>
      <c r="K24" s="17"/>
    </row>
    <row r="25" spans="1:11" ht="26.25" customHeight="1" thickBot="1">
      <c r="A25" s="260" t="s">
        <v>44</v>
      </c>
      <c r="B25" s="261"/>
      <c r="C25" s="262"/>
      <c r="D25" s="67">
        <f aca="true" t="shared" si="1" ref="D25:I25">SUM(D9:D24)</f>
        <v>6063.457687531885</v>
      </c>
      <c r="E25" s="67">
        <f t="shared" si="1"/>
        <v>6507.191595063478</v>
      </c>
      <c r="F25" s="67">
        <f t="shared" si="1"/>
        <v>6950.9255025950715</v>
      </c>
      <c r="G25" s="67">
        <f t="shared" si="1"/>
        <v>7394.659410126663</v>
      </c>
      <c r="H25" s="67">
        <f t="shared" si="1"/>
        <v>8164.102792236443</v>
      </c>
      <c r="I25" s="67">
        <f t="shared" si="1"/>
        <v>8933.546174346222</v>
      </c>
      <c r="J25" s="4"/>
      <c r="K25" s="17"/>
    </row>
    <row r="26" spans="1:11" ht="13.5" thickBot="1">
      <c r="A26" s="123"/>
      <c r="B26" s="124"/>
      <c r="C26" s="124"/>
      <c r="D26" s="68"/>
      <c r="E26" s="68"/>
      <c r="F26" s="68"/>
      <c r="G26" s="68"/>
      <c r="H26" s="68"/>
      <c r="I26" s="68"/>
      <c r="J26" s="4"/>
      <c r="K26" s="17"/>
    </row>
    <row r="27" spans="1:11" ht="13.5" thickBot="1">
      <c r="A27" s="263" t="s">
        <v>45</v>
      </c>
      <c r="B27" s="264"/>
      <c r="C27" s="265"/>
      <c r="D27" s="67">
        <v>1387.329231766467</v>
      </c>
      <c r="E27" s="67">
        <v>1387.329231766467</v>
      </c>
      <c r="F27" s="67">
        <v>1387.329231766467</v>
      </c>
      <c r="G27" s="67">
        <v>1387.329231766467</v>
      </c>
      <c r="H27" s="67">
        <v>1387.329231766467</v>
      </c>
      <c r="I27" s="67">
        <v>1387.329231766467</v>
      </c>
      <c r="J27" s="30"/>
      <c r="K27" s="17"/>
    </row>
    <row r="28" spans="1:11" ht="13.5" thickBot="1">
      <c r="A28" s="123"/>
      <c r="B28" s="124"/>
      <c r="C28" s="124"/>
      <c r="D28" s="68"/>
      <c r="E28" s="68"/>
      <c r="F28" s="68"/>
      <c r="G28" s="68"/>
      <c r="H28" s="68"/>
      <c r="I28" s="68"/>
      <c r="J28" s="4"/>
      <c r="K28" s="17"/>
    </row>
    <row r="29" spans="1:11" ht="26.25" customHeight="1" thickBot="1">
      <c r="A29" s="260" t="s">
        <v>46</v>
      </c>
      <c r="B29" s="261"/>
      <c r="C29" s="262"/>
      <c r="D29" s="67">
        <f aca="true" t="shared" si="2" ref="D29:I29">D25+D27</f>
        <v>7450.786919298353</v>
      </c>
      <c r="E29" s="67">
        <f t="shared" si="2"/>
        <v>7894.520826829946</v>
      </c>
      <c r="F29" s="67">
        <f t="shared" si="2"/>
        <v>8338.254734361539</v>
      </c>
      <c r="G29" s="67">
        <f t="shared" si="2"/>
        <v>8781.98864189313</v>
      </c>
      <c r="H29" s="67">
        <f t="shared" si="2"/>
        <v>9551.43202400291</v>
      </c>
      <c r="I29" s="67">
        <f t="shared" si="2"/>
        <v>10320.87540611269</v>
      </c>
      <c r="J29" s="4"/>
      <c r="K29" s="4"/>
    </row>
    <row r="30" spans="1:11" ht="13.5" thickBot="1">
      <c r="A30" s="118"/>
      <c r="B30" s="119"/>
      <c r="C30" s="119"/>
      <c r="D30" s="70"/>
      <c r="E30" s="70"/>
      <c r="F30" s="70"/>
      <c r="G30" s="70"/>
      <c r="H30" s="70"/>
      <c r="I30" s="70"/>
      <c r="J30" s="4"/>
      <c r="K30" s="4"/>
    </row>
    <row r="31" spans="1:11" ht="26.25" customHeight="1" thickBot="1">
      <c r="A31" s="260" t="s">
        <v>47</v>
      </c>
      <c r="B31" s="279"/>
      <c r="C31" s="280"/>
      <c r="D31" s="67">
        <f aca="true" t="shared" si="3" ref="D31:I31">D29/D5</f>
        <v>2128.7962626566723</v>
      </c>
      <c r="E31" s="67">
        <f t="shared" si="3"/>
        <v>1973.6302067074864</v>
      </c>
      <c r="F31" s="67">
        <f t="shared" si="3"/>
        <v>1852.9454965247864</v>
      </c>
      <c r="G31" s="67">
        <f t="shared" si="3"/>
        <v>1756.3977283786257</v>
      </c>
      <c r="H31" s="67">
        <f t="shared" si="3"/>
        <v>1591.9053373338184</v>
      </c>
      <c r="I31" s="67">
        <f t="shared" si="3"/>
        <v>1474.4107723018128</v>
      </c>
      <c r="J31" s="4"/>
      <c r="K31" s="4"/>
    </row>
    <row r="32" spans="1:11" ht="13.5" thickBot="1">
      <c r="A32" s="109"/>
      <c r="B32" s="110"/>
      <c r="C32" s="110"/>
      <c r="D32" s="70"/>
      <c r="E32" s="70"/>
      <c r="F32" s="70"/>
      <c r="G32" s="70"/>
      <c r="H32" s="70"/>
      <c r="I32" s="70"/>
      <c r="J32" s="4"/>
      <c r="K32" s="17"/>
    </row>
    <row r="33" spans="1:11" ht="13.5" thickBot="1">
      <c r="A33" s="112" t="s">
        <v>48</v>
      </c>
      <c r="B33" s="113"/>
      <c r="C33" s="113"/>
      <c r="D33" s="67">
        <f>'Pryse + Sensatiwiteitsanali'!D4</f>
        <v>261</v>
      </c>
      <c r="E33" s="67">
        <f>$D$33</f>
        <v>261</v>
      </c>
      <c r="F33" s="67">
        <f>$D$33</f>
        <v>261</v>
      </c>
      <c r="G33" s="67">
        <f>$D$33</f>
        <v>261</v>
      </c>
      <c r="H33" s="67">
        <f>$D$33</f>
        <v>261</v>
      </c>
      <c r="I33" s="67">
        <f>$D$33</f>
        <v>261</v>
      </c>
      <c r="J33" s="4"/>
      <c r="K33" s="17"/>
    </row>
    <row r="34" spans="1:11" ht="13.5" thickBot="1">
      <c r="A34" s="109"/>
      <c r="B34" s="110"/>
      <c r="C34" s="110"/>
      <c r="D34" s="70"/>
      <c r="E34" s="70"/>
      <c r="F34" s="70"/>
      <c r="G34" s="70"/>
      <c r="H34" s="70"/>
      <c r="I34" s="70"/>
      <c r="J34" s="4"/>
      <c r="K34" s="17"/>
    </row>
    <row r="35" spans="1:11" ht="27.75" customHeight="1" thickBot="1">
      <c r="A35" s="281" t="s">
        <v>49</v>
      </c>
      <c r="B35" s="282"/>
      <c r="C35" s="283"/>
      <c r="D35" s="69">
        <f aca="true" t="shared" si="4" ref="D35:I35">D31+D33</f>
        <v>2389.7962626566723</v>
      </c>
      <c r="E35" s="69">
        <f t="shared" si="4"/>
        <v>2234.6302067074866</v>
      </c>
      <c r="F35" s="69">
        <f t="shared" si="4"/>
        <v>2113.9454965247864</v>
      </c>
      <c r="G35" s="69">
        <f t="shared" si="4"/>
        <v>2017.3977283786257</v>
      </c>
      <c r="H35" s="69">
        <f t="shared" si="4"/>
        <v>1852.9053373338184</v>
      </c>
      <c r="I35" s="69">
        <f t="shared" si="4"/>
        <v>1735.4107723018128</v>
      </c>
      <c r="J35" s="4"/>
      <c r="K35" s="17"/>
    </row>
    <row r="36" spans="1:11" ht="13.5" thickBot="1">
      <c r="A36" s="107" t="s">
        <v>50</v>
      </c>
      <c r="B36" s="108"/>
      <c r="C36" s="7"/>
      <c r="D36" s="69">
        <f>'Pryse + Sensatiwiteitsanali'!B4</f>
        <v>2700</v>
      </c>
      <c r="E36" s="69">
        <f>$D$36</f>
        <v>2700</v>
      </c>
      <c r="F36" s="69">
        <f>$D$36</f>
        <v>2700</v>
      </c>
      <c r="G36" s="69">
        <f>$D$36</f>
        <v>2700</v>
      </c>
      <c r="H36" s="69">
        <f>$D$36</f>
        <v>2700</v>
      </c>
      <c r="I36" s="69">
        <f>$D$36</f>
        <v>2700</v>
      </c>
      <c r="J36" s="17"/>
      <c r="K36" s="4"/>
    </row>
    <row r="37" spans="9:10" ht="12.75">
      <c r="I37" s="4"/>
      <c r="J37" s="4"/>
    </row>
    <row r="38" spans="1:10" ht="13.5" thickBot="1">
      <c r="A38" s="4"/>
      <c r="B38" s="32"/>
      <c r="C38" s="4"/>
      <c r="D38" s="4"/>
      <c r="E38" s="4"/>
      <c r="F38" s="4"/>
      <c r="G38" s="4"/>
      <c r="H38" s="4"/>
      <c r="I38" s="17"/>
      <c r="J38" s="4"/>
    </row>
    <row r="39" spans="1:10" ht="12.75">
      <c r="A39" s="1" t="s">
        <v>11</v>
      </c>
      <c r="B39" s="33"/>
      <c r="C39" s="34"/>
      <c r="D39" s="34"/>
      <c r="E39" s="34"/>
      <c r="F39" s="34"/>
      <c r="G39" s="34"/>
      <c r="H39" s="35"/>
      <c r="I39" s="17"/>
      <c r="J39" s="4"/>
    </row>
    <row r="40" spans="1:10" ht="12.75">
      <c r="A40" s="36" t="s">
        <v>1</v>
      </c>
      <c r="B40" s="37"/>
      <c r="C40" s="38"/>
      <c r="D40" s="39"/>
      <c r="E40" s="39"/>
      <c r="F40" s="39"/>
      <c r="G40" s="39"/>
      <c r="H40" s="40"/>
      <c r="I40" s="17"/>
      <c r="J40" s="4"/>
    </row>
    <row r="41" spans="1:16" ht="13.5" thickBot="1">
      <c r="A41" s="41" t="s">
        <v>0</v>
      </c>
      <c r="B41" s="42"/>
      <c r="C41" s="43"/>
      <c r="D41" s="43"/>
      <c r="E41" s="43"/>
      <c r="F41" s="43"/>
      <c r="G41" s="44"/>
      <c r="H41" s="45"/>
      <c r="I41" s="17"/>
      <c r="J41" s="4"/>
      <c r="P41" s="71"/>
    </row>
    <row r="42" spans="1:10" ht="13.5" thickBot="1">
      <c r="A42" s="46"/>
      <c r="B42" s="11"/>
      <c r="C42" s="47" t="s">
        <v>2</v>
      </c>
      <c r="D42" s="48"/>
      <c r="E42" s="48"/>
      <c r="F42" s="48"/>
      <c r="G42" s="49"/>
      <c r="H42" s="50"/>
      <c r="I42" s="17"/>
      <c r="J42" s="4"/>
    </row>
    <row r="43" spans="1:10" ht="13.5" thickBot="1">
      <c r="A43" s="5"/>
      <c r="B43" s="32"/>
      <c r="C43" s="4"/>
      <c r="D43" s="4"/>
      <c r="E43" s="4"/>
      <c r="F43" s="4"/>
      <c r="G43" s="4"/>
      <c r="H43" s="51"/>
      <c r="I43" s="17"/>
      <c r="J43" s="4"/>
    </row>
    <row r="44" spans="1:10" ht="13.5" thickBot="1">
      <c r="A44" s="5"/>
      <c r="B44" s="52"/>
      <c r="C44" s="53">
        <v>2539</v>
      </c>
      <c r="D44" s="53">
        <v>2639</v>
      </c>
      <c r="E44" s="54">
        <v>2739</v>
      </c>
      <c r="F44" s="53">
        <v>2839</v>
      </c>
      <c r="G44" s="55">
        <v>2939</v>
      </c>
      <c r="H44" s="51"/>
      <c r="I44" s="17"/>
      <c r="J44" s="4"/>
    </row>
    <row r="45" spans="1:10" ht="12.75">
      <c r="A45" s="5"/>
      <c r="B45" s="56">
        <v>3.5</v>
      </c>
      <c r="C45" s="79">
        <v>1435.7130807016474</v>
      </c>
      <c r="D45" s="80">
        <v>1785.7130807016474</v>
      </c>
      <c r="E45" s="80">
        <v>2135.7130807016474</v>
      </c>
      <c r="F45" s="80">
        <v>2485.7130807016474</v>
      </c>
      <c r="G45" s="81">
        <v>2835.7130807016474</v>
      </c>
      <c r="H45" s="51"/>
      <c r="I45" s="17"/>
      <c r="J45" s="4"/>
    </row>
    <row r="46" spans="1:10" ht="12.75">
      <c r="A46" s="5"/>
      <c r="B46" s="57"/>
      <c r="C46" s="82"/>
      <c r="D46" s="75"/>
      <c r="E46" s="75"/>
      <c r="F46" s="75"/>
      <c r="G46" s="76"/>
      <c r="H46" s="51"/>
      <c r="I46" s="17"/>
      <c r="J46" s="4"/>
    </row>
    <row r="47" spans="1:10" ht="12.75">
      <c r="A47" s="5"/>
      <c r="B47" s="56">
        <v>4</v>
      </c>
      <c r="C47" s="82">
        <v>2261.4791731700543</v>
      </c>
      <c r="D47" s="75">
        <v>2661.4791731700543</v>
      </c>
      <c r="E47" s="75">
        <v>3061.4791731700543</v>
      </c>
      <c r="F47" s="75">
        <v>3461.4791731700543</v>
      </c>
      <c r="G47" s="76">
        <v>3861.4791731700543</v>
      </c>
      <c r="H47" s="51"/>
      <c r="I47" s="17"/>
      <c r="J47" s="4"/>
    </row>
    <row r="48" spans="1:10" ht="13.5" thickBot="1">
      <c r="A48" s="58"/>
      <c r="B48" s="57"/>
      <c r="C48" s="82"/>
      <c r="D48" s="75"/>
      <c r="E48" s="75"/>
      <c r="F48" s="75"/>
      <c r="G48" s="76"/>
      <c r="H48" s="51"/>
      <c r="I48" s="17"/>
      <c r="J48" s="4"/>
    </row>
    <row r="49" spans="1:10" ht="13.5" thickBot="1">
      <c r="A49" s="59" t="s">
        <v>4</v>
      </c>
      <c r="B49" s="60">
        <v>4.5</v>
      </c>
      <c r="C49" s="82">
        <v>3087.245265638461</v>
      </c>
      <c r="D49" s="75">
        <v>3537.245265638461</v>
      </c>
      <c r="E49" s="84">
        <v>3987.245265638461</v>
      </c>
      <c r="F49" s="75">
        <v>4437.245265638461</v>
      </c>
      <c r="G49" s="76">
        <v>4887.245265638461</v>
      </c>
      <c r="H49" s="51"/>
      <c r="I49" s="17"/>
      <c r="J49" s="4"/>
    </row>
    <row r="50" spans="1:10" ht="12.75">
      <c r="A50" s="5"/>
      <c r="B50" s="57"/>
      <c r="C50" s="82"/>
      <c r="D50" s="75"/>
      <c r="E50" s="75"/>
      <c r="F50" s="75"/>
      <c r="G50" s="76"/>
      <c r="H50" s="51"/>
      <c r="I50" s="17"/>
      <c r="J50" s="4"/>
    </row>
    <row r="51" spans="1:10" ht="12.75">
      <c r="A51" s="5"/>
      <c r="B51" s="56">
        <v>5</v>
      </c>
      <c r="C51" s="82">
        <v>3913.011358106871</v>
      </c>
      <c r="D51" s="75">
        <v>4413.011358106871</v>
      </c>
      <c r="E51" s="75">
        <v>4913.011358106871</v>
      </c>
      <c r="F51" s="75">
        <v>5413.011358106871</v>
      </c>
      <c r="G51" s="76">
        <v>5913.011358106871</v>
      </c>
      <c r="H51" s="51"/>
      <c r="I51" s="17"/>
      <c r="J51" s="4"/>
    </row>
    <row r="52" spans="1:10" ht="12.75">
      <c r="A52" s="5"/>
      <c r="B52" s="57"/>
      <c r="C52" s="82"/>
      <c r="D52" s="75"/>
      <c r="E52" s="75"/>
      <c r="F52" s="75"/>
      <c r="G52" s="76"/>
      <c r="H52" s="51"/>
      <c r="I52" s="17"/>
      <c r="J52" s="4"/>
    </row>
    <row r="53" spans="1:10" ht="12.75">
      <c r="A53" s="5"/>
      <c r="B53" s="56">
        <v>6</v>
      </c>
      <c r="C53" s="82">
        <v>5682.56797599709</v>
      </c>
      <c r="D53" s="75">
        <v>6282.56797599709</v>
      </c>
      <c r="E53" s="75">
        <v>6882.56797599709</v>
      </c>
      <c r="F53" s="75">
        <v>7482.56797599709</v>
      </c>
      <c r="G53" s="76">
        <v>8082.56797599709</v>
      </c>
      <c r="H53" s="51"/>
      <c r="I53" s="17"/>
      <c r="J53" s="4"/>
    </row>
    <row r="54" spans="1:10" ht="12.75">
      <c r="A54" s="5"/>
      <c r="B54" s="57"/>
      <c r="C54" s="82"/>
      <c r="D54" s="75"/>
      <c r="E54" s="75"/>
      <c r="F54" s="75"/>
      <c r="G54" s="76"/>
      <c r="H54" s="51"/>
      <c r="I54" s="17"/>
      <c r="J54" s="4"/>
    </row>
    <row r="55" spans="1:9" ht="13.5" thickBot="1">
      <c r="A55" s="5"/>
      <c r="B55" s="61">
        <v>7</v>
      </c>
      <c r="C55" s="86">
        <v>7452.124593887311</v>
      </c>
      <c r="D55" s="87">
        <v>8152.124593887311</v>
      </c>
      <c r="E55" s="87">
        <v>8852.12459388731</v>
      </c>
      <c r="F55" s="87">
        <v>9552.12459388731</v>
      </c>
      <c r="G55" s="88">
        <v>10252.12459388731</v>
      </c>
      <c r="H55" s="51"/>
      <c r="I55" s="17"/>
    </row>
    <row r="56" spans="1:8" ht="13.5" thickBot="1">
      <c r="A56" s="62"/>
      <c r="B56" s="13"/>
      <c r="C56" s="13"/>
      <c r="D56" s="13"/>
      <c r="E56" s="13"/>
      <c r="F56" s="13"/>
      <c r="G56" s="13"/>
      <c r="H56" s="6"/>
    </row>
    <row r="57" spans="1:10" ht="15">
      <c r="A57" s="132" t="s">
        <v>55</v>
      </c>
      <c r="B57" s="133"/>
      <c r="C57" s="133"/>
      <c r="D57" s="133"/>
      <c r="E57" s="133"/>
      <c r="F57" s="133"/>
      <c r="G57" s="133"/>
      <c r="H57" s="134"/>
      <c r="I57" s="131"/>
      <c r="J57" s="131"/>
    </row>
    <row r="58" spans="1:10" ht="15">
      <c r="A58" s="135" t="s">
        <v>56</v>
      </c>
      <c r="B58" s="136"/>
      <c r="C58" s="136"/>
      <c r="D58" s="136"/>
      <c r="E58" s="136"/>
      <c r="F58" s="136"/>
      <c r="G58" s="136"/>
      <c r="H58" s="137"/>
      <c r="I58" s="131"/>
      <c r="J58" s="131"/>
    </row>
    <row r="59" spans="1:10" ht="15.75" thickBot="1">
      <c r="A59" s="138" t="s">
        <v>57</v>
      </c>
      <c r="B59" s="139"/>
      <c r="C59" s="139"/>
      <c r="D59" s="139"/>
      <c r="E59" s="139"/>
      <c r="F59" s="139"/>
      <c r="G59" s="139"/>
      <c r="H59" s="140"/>
      <c r="I59" s="131"/>
      <c r="J59" s="131"/>
    </row>
    <row r="60" spans="1:8" ht="12.75">
      <c r="A60" s="267" t="s">
        <v>58</v>
      </c>
      <c r="B60" s="268"/>
      <c r="C60" s="268"/>
      <c r="D60" s="268"/>
      <c r="E60" s="268"/>
      <c r="F60" s="268"/>
      <c r="G60" s="268"/>
      <c r="H60" s="269"/>
    </row>
    <row r="61" spans="1:8" ht="12.75">
      <c r="A61" s="270"/>
      <c r="B61" s="271"/>
      <c r="C61" s="271"/>
      <c r="D61" s="271"/>
      <c r="E61" s="271"/>
      <c r="F61" s="271"/>
      <c r="G61" s="271"/>
      <c r="H61" s="272"/>
    </row>
    <row r="62" spans="1:8" ht="12.75">
      <c r="A62" s="270"/>
      <c r="B62" s="271"/>
      <c r="C62" s="271"/>
      <c r="D62" s="271"/>
      <c r="E62" s="271"/>
      <c r="F62" s="271"/>
      <c r="G62" s="271"/>
      <c r="H62" s="272"/>
    </row>
    <row r="63" spans="1:8" ht="13.5" thickBot="1">
      <c r="A63" s="273"/>
      <c r="B63" s="274"/>
      <c r="C63" s="274"/>
      <c r="D63" s="274"/>
      <c r="E63" s="274"/>
      <c r="F63" s="274"/>
      <c r="G63" s="274"/>
      <c r="H63" s="275"/>
    </row>
    <row r="116" ht="12.75"/>
    <row r="117" ht="12.75"/>
    <row r="118" ht="12.75"/>
    <row r="119" ht="12.75"/>
    <row r="120" ht="12.75"/>
  </sheetData>
  <sheetProtection/>
  <mergeCells count="11">
    <mergeCell ref="A1:D1"/>
    <mergeCell ref="E1:G1"/>
    <mergeCell ref="A31:C31"/>
    <mergeCell ref="A35:C35"/>
    <mergeCell ref="A3:C3"/>
    <mergeCell ref="A8:C8"/>
    <mergeCell ref="A25:C25"/>
    <mergeCell ref="A27:C27"/>
    <mergeCell ref="A29:C29"/>
    <mergeCell ref="M7:O7"/>
    <mergeCell ref="A60:H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5.7109375" style="2" customWidth="1"/>
    <col min="3" max="3" width="17.28125" style="2" customWidth="1"/>
    <col min="4" max="4" width="13.8515625" style="2" customWidth="1"/>
    <col min="5" max="9" width="14.28125" style="2" customWidth="1"/>
    <col min="10" max="10" width="14.421875" style="2" customWidth="1"/>
    <col min="11" max="12" width="12.7109375" style="2" customWidth="1"/>
    <col min="13" max="15" width="12.7109375" style="2" hidden="1" customWidth="1"/>
    <col min="16" max="26" width="12.7109375" style="2" customWidth="1"/>
    <col min="27" max="16384" width="9.140625" style="2" customWidth="1"/>
  </cols>
  <sheetData>
    <row r="1" spans="1:10" s="4" customFormat="1" ht="31.5" customHeight="1" thickBot="1">
      <c r="A1" s="276" t="s">
        <v>19</v>
      </c>
      <c r="B1" s="277"/>
      <c r="C1" s="277"/>
      <c r="D1" s="277"/>
      <c r="E1" s="278" t="s">
        <v>22</v>
      </c>
      <c r="F1" s="278"/>
      <c r="G1" s="278"/>
      <c r="H1" s="3"/>
      <c r="I1" s="18"/>
      <c r="J1" s="17"/>
    </row>
    <row r="2" spans="1:10" ht="16.5" thickBot="1">
      <c r="A2" s="19"/>
      <c r="B2" s="20"/>
      <c r="C2" s="21"/>
      <c r="D2" s="21"/>
      <c r="E2" s="13"/>
      <c r="F2" s="13"/>
      <c r="G2" s="13"/>
      <c r="H2" s="13"/>
      <c r="I2" s="6"/>
      <c r="J2" s="4"/>
    </row>
    <row r="3" spans="1:11" ht="25.5" customHeight="1" thickBot="1">
      <c r="A3" s="281" t="s">
        <v>24</v>
      </c>
      <c r="B3" s="282"/>
      <c r="C3" s="282"/>
      <c r="D3" s="64"/>
      <c r="E3" s="77">
        <f>'Pryse + Sensatiwiteitsanali'!B76</f>
        <v>5678</v>
      </c>
      <c r="F3" s="64" t="s">
        <v>3</v>
      </c>
      <c r="G3" s="22"/>
      <c r="H3" s="22"/>
      <c r="I3" s="7"/>
      <c r="K3" s="4"/>
    </row>
    <row r="4" spans="1:11" ht="13.5" thickBot="1">
      <c r="A4" s="111"/>
      <c r="B4" s="9"/>
      <c r="C4" s="9"/>
      <c r="D4" s="8"/>
      <c r="E4" s="12"/>
      <c r="F4" s="23"/>
      <c r="G4" s="9"/>
      <c r="H4" s="24"/>
      <c r="I4" s="24"/>
      <c r="J4" s="4"/>
      <c r="K4" s="17"/>
    </row>
    <row r="5" spans="1:11" ht="13.5" thickBot="1">
      <c r="A5" s="115" t="s">
        <v>25</v>
      </c>
      <c r="B5" s="9"/>
      <c r="C5" s="9"/>
      <c r="D5" s="97">
        <v>1</v>
      </c>
      <c r="E5" s="97">
        <v>1.25</v>
      </c>
      <c r="F5" s="97">
        <v>1.5</v>
      </c>
      <c r="G5" s="97">
        <v>1.75</v>
      </c>
      <c r="H5" s="97">
        <v>2</v>
      </c>
      <c r="I5" s="97">
        <v>2.5</v>
      </c>
      <c r="J5" s="4"/>
      <c r="K5" s="17"/>
    </row>
    <row r="6" spans="1:11" ht="13.5" thickBot="1">
      <c r="A6" s="116" t="s">
        <v>26</v>
      </c>
      <c r="B6" s="113"/>
      <c r="C6" s="114"/>
      <c r="D6" s="73">
        <f aca="true" t="shared" si="0" ref="D6:I6">$E$3*D5</f>
        <v>5678</v>
      </c>
      <c r="E6" s="73">
        <f t="shared" si="0"/>
        <v>7097.5</v>
      </c>
      <c r="F6" s="73">
        <f t="shared" si="0"/>
        <v>8517</v>
      </c>
      <c r="G6" s="73">
        <f t="shared" si="0"/>
        <v>9936.5</v>
      </c>
      <c r="H6" s="73">
        <f t="shared" si="0"/>
        <v>11356</v>
      </c>
      <c r="I6" s="73">
        <f t="shared" si="0"/>
        <v>14195</v>
      </c>
      <c r="J6" s="4"/>
      <c r="K6" s="17"/>
    </row>
    <row r="7" spans="1:15" ht="15.75" thickBot="1">
      <c r="A7" s="109"/>
      <c r="B7" s="110"/>
      <c r="C7" s="110"/>
      <c r="D7" s="26"/>
      <c r="E7" s="26"/>
      <c r="F7" s="26"/>
      <c r="G7" s="26"/>
      <c r="H7" s="26"/>
      <c r="I7" s="26"/>
      <c r="J7" s="4"/>
      <c r="K7" s="17"/>
      <c r="M7" s="266" t="s">
        <v>127</v>
      </c>
      <c r="N7" s="266"/>
      <c r="O7" s="266"/>
    </row>
    <row r="8" spans="1:15" ht="15.75" thickBot="1">
      <c r="A8" s="257" t="s">
        <v>27</v>
      </c>
      <c r="B8" s="258"/>
      <c r="C8" s="259"/>
      <c r="D8" s="27"/>
      <c r="E8" s="27"/>
      <c r="F8" s="27"/>
      <c r="G8" s="27"/>
      <c r="H8" s="27"/>
      <c r="I8" s="27"/>
      <c r="J8" s="4"/>
      <c r="K8" s="17"/>
      <c r="M8" s="238" t="s">
        <v>120</v>
      </c>
      <c r="N8" s="238" t="s">
        <v>121</v>
      </c>
      <c r="O8" s="238" t="s">
        <v>122</v>
      </c>
    </row>
    <row r="9" spans="1:15" ht="15">
      <c r="A9" s="120" t="s">
        <v>28</v>
      </c>
      <c r="B9" s="121"/>
      <c r="C9" s="121"/>
      <c r="D9" s="65">
        <v>447.22222222222223</v>
      </c>
      <c r="E9" s="65">
        <v>479.1666666666667</v>
      </c>
      <c r="F9" s="65">
        <v>511.11111111111114</v>
      </c>
      <c r="G9" s="65">
        <v>543.0555555555555</v>
      </c>
      <c r="H9" s="65">
        <v>575</v>
      </c>
      <c r="I9" s="65">
        <v>575</v>
      </c>
      <c r="J9" s="4"/>
      <c r="K9" s="103"/>
      <c r="M9" s="239">
        <f>D5</f>
        <v>1</v>
      </c>
      <c r="N9" s="239">
        <f>D25</f>
        <v>4848.3624575138465</v>
      </c>
      <c r="O9" s="239">
        <f>D27</f>
        <v>2380.593781438091</v>
      </c>
    </row>
    <row r="10" spans="1:15" ht="15">
      <c r="A10" s="117" t="s">
        <v>29</v>
      </c>
      <c r="B10" s="122"/>
      <c r="C10" s="122"/>
      <c r="D10" s="66">
        <v>870.16</v>
      </c>
      <c r="E10" s="66">
        <v>1050.2</v>
      </c>
      <c r="F10" s="66">
        <v>1230.24</v>
      </c>
      <c r="G10" s="66">
        <v>1410.28</v>
      </c>
      <c r="H10" s="66">
        <v>1590.32</v>
      </c>
      <c r="I10" s="66">
        <v>1950.4</v>
      </c>
      <c r="J10" s="4"/>
      <c r="K10" s="103"/>
      <c r="M10" s="239">
        <f>E5</f>
        <v>1.25</v>
      </c>
      <c r="N10" s="239">
        <f>E25</f>
        <v>5205.47212645813</v>
      </c>
      <c r="O10" s="239">
        <f>E27</f>
        <v>2380.593781438091</v>
      </c>
    </row>
    <row r="11" spans="1:15" ht="15">
      <c r="A11" s="117" t="s">
        <v>30</v>
      </c>
      <c r="B11" s="122"/>
      <c r="C11" s="122"/>
      <c r="D11" s="66">
        <v>176.49</v>
      </c>
      <c r="E11" s="66">
        <v>176.49</v>
      </c>
      <c r="F11" s="66">
        <v>176.49</v>
      </c>
      <c r="G11" s="66">
        <v>176.49</v>
      </c>
      <c r="H11" s="66">
        <v>176.49</v>
      </c>
      <c r="I11" s="66">
        <v>176.49</v>
      </c>
      <c r="J11" s="4"/>
      <c r="K11" s="103"/>
      <c r="M11" s="239">
        <f>F5</f>
        <v>1.5</v>
      </c>
      <c r="N11" s="239">
        <f>F25</f>
        <v>5562.581795402418</v>
      </c>
      <c r="O11" s="239">
        <f>F27</f>
        <v>2380.593781438091</v>
      </c>
    </row>
    <row r="12" spans="1:15" ht="15">
      <c r="A12" s="117" t="s">
        <v>31</v>
      </c>
      <c r="B12" s="122"/>
      <c r="C12" s="122"/>
      <c r="D12" s="66">
        <v>1011.669056</v>
      </c>
      <c r="E12" s="66">
        <v>1028.5893059999999</v>
      </c>
      <c r="F12" s="66">
        <v>1045.509556</v>
      </c>
      <c r="G12" s="66">
        <v>1062.4298059999999</v>
      </c>
      <c r="H12" s="66">
        <v>1079.350056</v>
      </c>
      <c r="I12" s="66">
        <v>1106.805556</v>
      </c>
      <c r="J12" s="4"/>
      <c r="K12" s="103"/>
      <c r="M12" s="239">
        <f>G5</f>
        <v>1.75</v>
      </c>
      <c r="N12" s="239">
        <f>G25</f>
        <v>5919.691464346703</v>
      </c>
      <c r="O12" s="239">
        <f>G27</f>
        <v>2380.593781438091</v>
      </c>
    </row>
    <row r="13" spans="1:15" ht="15">
      <c r="A13" s="117" t="s">
        <v>32</v>
      </c>
      <c r="B13" s="122"/>
      <c r="C13" s="122"/>
      <c r="D13" s="66">
        <v>701.8303000000001</v>
      </c>
      <c r="E13" s="66">
        <v>703.3628</v>
      </c>
      <c r="F13" s="66">
        <v>704.8953</v>
      </c>
      <c r="G13" s="66">
        <v>706.4278</v>
      </c>
      <c r="H13" s="66">
        <v>707.9603</v>
      </c>
      <c r="I13" s="66">
        <v>711.0253</v>
      </c>
      <c r="J13" s="4"/>
      <c r="K13" s="103"/>
      <c r="M13" s="239">
        <f>H5</f>
        <v>2</v>
      </c>
      <c r="N13" s="239">
        <f>H25</f>
        <v>6276.801133290987</v>
      </c>
      <c r="O13" s="239">
        <f>H27</f>
        <v>2380.593781438091</v>
      </c>
    </row>
    <row r="14" spans="1:15" ht="15">
      <c r="A14" s="117" t="s">
        <v>33</v>
      </c>
      <c r="B14" s="122"/>
      <c r="C14" s="122"/>
      <c r="D14" s="66">
        <v>665.52</v>
      </c>
      <c r="E14" s="66">
        <v>665.52</v>
      </c>
      <c r="F14" s="66">
        <v>665.52</v>
      </c>
      <c r="G14" s="66">
        <v>665.52</v>
      </c>
      <c r="H14" s="66">
        <v>665.52</v>
      </c>
      <c r="I14" s="66">
        <v>665.52</v>
      </c>
      <c r="J14" s="4"/>
      <c r="K14" s="103"/>
      <c r="M14" s="239">
        <f>I5</f>
        <v>2.5</v>
      </c>
      <c r="N14" s="239">
        <f>I25</f>
        <v>6913.522800381622</v>
      </c>
      <c r="O14" s="239">
        <f>I27</f>
        <v>2380.593781438091</v>
      </c>
    </row>
    <row r="15" spans="1:11" ht="12.75">
      <c r="A15" s="117" t="s">
        <v>34</v>
      </c>
      <c r="B15" s="122"/>
      <c r="C15" s="122"/>
      <c r="D15" s="66">
        <v>30</v>
      </c>
      <c r="E15" s="66">
        <v>30</v>
      </c>
      <c r="F15" s="66">
        <v>30</v>
      </c>
      <c r="G15" s="66">
        <v>30</v>
      </c>
      <c r="H15" s="66">
        <v>30</v>
      </c>
      <c r="I15" s="66">
        <v>30</v>
      </c>
      <c r="J15" s="4"/>
      <c r="K15" s="103"/>
    </row>
    <row r="16" spans="1:11" ht="12.75">
      <c r="A16" s="117" t="s">
        <v>35</v>
      </c>
      <c r="B16" s="122"/>
      <c r="C16" s="122"/>
      <c r="D16" s="66">
        <v>122.42099999999999</v>
      </c>
      <c r="E16" s="66">
        <v>153.02625</v>
      </c>
      <c r="F16" s="66">
        <v>183.6315</v>
      </c>
      <c r="G16" s="66">
        <v>214.23675000000003</v>
      </c>
      <c r="H16" s="66">
        <v>244.84199999999998</v>
      </c>
      <c r="I16" s="66">
        <v>306.0525</v>
      </c>
      <c r="J16" s="4"/>
      <c r="K16" s="103"/>
    </row>
    <row r="17" spans="1:11" ht="12.75">
      <c r="A17" s="117" t="s">
        <v>36</v>
      </c>
      <c r="B17" s="122"/>
      <c r="C17" s="122"/>
      <c r="D17" s="66">
        <v>210.0875714346395</v>
      </c>
      <c r="E17" s="66">
        <v>225.56172456196236</v>
      </c>
      <c r="F17" s="66">
        <v>241.03587768928534</v>
      </c>
      <c r="G17" s="66">
        <v>256.51003081660826</v>
      </c>
      <c r="H17" s="66">
        <v>271.98418394393116</v>
      </c>
      <c r="I17" s="66">
        <v>299.5743878305193</v>
      </c>
      <c r="J17" s="4"/>
      <c r="K17" s="103"/>
    </row>
    <row r="18" spans="1:11" ht="12.75">
      <c r="A18" s="117" t="s">
        <v>37</v>
      </c>
      <c r="B18" s="122"/>
      <c r="C18" s="122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4"/>
      <c r="K18" s="103"/>
    </row>
    <row r="19" spans="1:11" ht="12.75">
      <c r="A19" s="117" t="s">
        <v>38</v>
      </c>
      <c r="B19" s="122"/>
      <c r="C19" s="122"/>
      <c r="D19" s="66">
        <v>251.12</v>
      </c>
      <c r="E19" s="66">
        <v>313.90000000000003</v>
      </c>
      <c r="F19" s="66">
        <v>376.68</v>
      </c>
      <c r="G19" s="66">
        <v>439.46000000000004</v>
      </c>
      <c r="H19" s="66">
        <v>502.24</v>
      </c>
      <c r="I19" s="66">
        <v>627.8000000000001</v>
      </c>
      <c r="J19" s="4"/>
      <c r="K19" s="103"/>
    </row>
    <row r="20" spans="1:11" ht="12.75">
      <c r="A20" s="117" t="s">
        <v>39</v>
      </c>
      <c r="B20" s="122"/>
      <c r="C20" s="122"/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4"/>
      <c r="K20" s="103"/>
    </row>
    <row r="21" spans="1:11" ht="12.75">
      <c r="A21" s="117" t="s">
        <v>40</v>
      </c>
      <c r="B21" s="122"/>
      <c r="C21" s="122"/>
      <c r="D21" s="66">
        <v>120</v>
      </c>
      <c r="E21" s="66">
        <v>120</v>
      </c>
      <c r="F21" s="66">
        <v>120</v>
      </c>
      <c r="G21" s="66">
        <v>120</v>
      </c>
      <c r="H21" s="66">
        <v>120</v>
      </c>
      <c r="I21" s="66">
        <v>120</v>
      </c>
      <c r="J21" s="4"/>
      <c r="K21" s="103"/>
    </row>
    <row r="22" spans="1:11" ht="12.75">
      <c r="A22" s="117" t="s">
        <v>41</v>
      </c>
      <c r="B22" s="122"/>
      <c r="C22" s="122"/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4"/>
      <c r="K22" s="103"/>
    </row>
    <row r="23" spans="1:11" ht="12.75">
      <c r="A23" s="117" t="s">
        <v>42</v>
      </c>
      <c r="B23" s="122"/>
      <c r="C23" s="122"/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4"/>
      <c r="K23" s="103"/>
    </row>
    <row r="24" spans="1:11" ht="13.5" thickBot="1">
      <c r="A24" s="117" t="s">
        <v>43</v>
      </c>
      <c r="B24" s="122"/>
      <c r="C24" s="122"/>
      <c r="D24" s="66">
        <v>241.84230785698523</v>
      </c>
      <c r="E24" s="66">
        <v>259.655379229503</v>
      </c>
      <c r="F24" s="66">
        <v>277.4684506020208</v>
      </c>
      <c r="G24" s="66">
        <v>295.2815219745386</v>
      </c>
      <c r="H24" s="66">
        <v>313.09459334705633</v>
      </c>
      <c r="I24" s="66">
        <v>344.8550565511023</v>
      </c>
      <c r="J24" s="4"/>
      <c r="K24" s="103"/>
    </row>
    <row r="25" spans="1:11" ht="24.75" customHeight="1" thickBot="1">
      <c r="A25" s="260" t="s">
        <v>44</v>
      </c>
      <c r="B25" s="261"/>
      <c r="C25" s="262"/>
      <c r="D25" s="67">
        <f aca="true" t="shared" si="1" ref="D25:I25">SUM(D9:D24)</f>
        <v>4848.3624575138465</v>
      </c>
      <c r="E25" s="67">
        <f t="shared" si="1"/>
        <v>5205.47212645813</v>
      </c>
      <c r="F25" s="67">
        <f t="shared" si="1"/>
        <v>5562.581795402418</v>
      </c>
      <c r="G25" s="67">
        <f t="shared" si="1"/>
        <v>5919.691464346703</v>
      </c>
      <c r="H25" s="67">
        <f t="shared" si="1"/>
        <v>6276.801133290987</v>
      </c>
      <c r="I25" s="67">
        <f t="shared" si="1"/>
        <v>6913.522800381622</v>
      </c>
      <c r="J25" s="4"/>
      <c r="K25" s="103"/>
    </row>
    <row r="26" spans="1:11" ht="13.5" thickBot="1">
      <c r="A26" s="123"/>
      <c r="B26" s="124"/>
      <c r="C26" s="124"/>
      <c r="D26" s="68"/>
      <c r="E26" s="68"/>
      <c r="F26" s="68"/>
      <c r="G26" s="68"/>
      <c r="H26" s="68"/>
      <c r="I26" s="68"/>
      <c r="J26" s="4"/>
      <c r="K26" s="17"/>
    </row>
    <row r="27" spans="1:11" ht="13.5" thickBot="1">
      <c r="A27" s="263" t="s">
        <v>45</v>
      </c>
      <c r="B27" s="264"/>
      <c r="C27" s="265"/>
      <c r="D27" s="67">
        <v>2380.593781438091</v>
      </c>
      <c r="E27" s="67">
        <v>2380.593781438091</v>
      </c>
      <c r="F27" s="67">
        <v>2380.593781438091</v>
      </c>
      <c r="G27" s="67">
        <v>2380.593781438091</v>
      </c>
      <c r="H27" s="67">
        <v>2380.593781438091</v>
      </c>
      <c r="I27" s="67">
        <v>2380.593781438091</v>
      </c>
      <c r="J27" s="30"/>
      <c r="K27" s="17"/>
    </row>
    <row r="28" spans="1:11" ht="13.5" thickBot="1">
      <c r="A28" s="123"/>
      <c r="B28" s="124"/>
      <c r="C28" s="124"/>
      <c r="D28" s="68"/>
      <c r="E28" s="68"/>
      <c r="F28" s="68"/>
      <c r="G28" s="68"/>
      <c r="H28" s="68"/>
      <c r="I28" s="68"/>
      <c r="J28" s="4"/>
      <c r="K28" s="17"/>
    </row>
    <row r="29" spans="1:11" ht="28.5" customHeight="1" thickBot="1">
      <c r="A29" s="260" t="s">
        <v>46</v>
      </c>
      <c r="B29" s="261"/>
      <c r="C29" s="262"/>
      <c r="D29" s="67">
        <f aca="true" t="shared" si="2" ref="D29:I29">D25+D27</f>
        <v>7228.956238951938</v>
      </c>
      <c r="E29" s="67">
        <f t="shared" si="2"/>
        <v>7586.065907896222</v>
      </c>
      <c r="F29" s="67">
        <f t="shared" si="2"/>
        <v>7943.175576840509</v>
      </c>
      <c r="G29" s="67">
        <f t="shared" si="2"/>
        <v>8300.285245784793</v>
      </c>
      <c r="H29" s="67">
        <f t="shared" si="2"/>
        <v>8657.394914729079</v>
      </c>
      <c r="I29" s="67">
        <f t="shared" si="2"/>
        <v>9294.116581819713</v>
      </c>
      <c r="J29" s="4"/>
      <c r="K29" s="4"/>
    </row>
    <row r="30" spans="1:11" ht="13.5" thickBot="1">
      <c r="A30" s="118"/>
      <c r="B30" s="119"/>
      <c r="C30" s="119"/>
      <c r="D30" s="70"/>
      <c r="E30" s="70"/>
      <c r="F30" s="70"/>
      <c r="G30" s="70"/>
      <c r="H30" s="70"/>
      <c r="I30" s="70"/>
      <c r="J30" s="4"/>
      <c r="K30" s="4"/>
    </row>
    <row r="31" spans="1:11" ht="27.75" customHeight="1" thickBot="1">
      <c r="A31" s="260" t="s">
        <v>47</v>
      </c>
      <c r="B31" s="279"/>
      <c r="C31" s="280"/>
      <c r="D31" s="67">
        <f aca="true" t="shared" si="3" ref="D31:I31">D29/D5</f>
        <v>7228.956238951938</v>
      </c>
      <c r="E31" s="67">
        <f t="shared" si="3"/>
        <v>6068.852726316977</v>
      </c>
      <c r="F31" s="67">
        <f t="shared" si="3"/>
        <v>5295.450384560339</v>
      </c>
      <c r="G31" s="67">
        <f t="shared" si="3"/>
        <v>4743.020140448453</v>
      </c>
      <c r="H31" s="67">
        <f t="shared" si="3"/>
        <v>4328.697457364539</v>
      </c>
      <c r="I31" s="67">
        <f t="shared" si="3"/>
        <v>3717.6466327278854</v>
      </c>
      <c r="J31" s="4"/>
      <c r="K31" s="4"/>
    </row>
    <row r="32" spans="1:11" ht="13.5" thickBot="1">
      <c r="A32" s="109"/>
      <c r="B32" s="110"/>
      <c r="C32" s="110"/>
      <c r="D32" s="70"/>
      <c r="E32" s="70"/>
      <c r="F32" s="70"/>
      <c r="G32" s="70"/>
      <c r="H32" s="70"/>
      <c r="I32" s="70"/>
      <c r="J32" s="4"/>
      <c r="K32" s="17"/>
    </row>
    <row r="33" spans="1:11" ht="13.5" thickBot="1">
      <c r="A33" s="112" t="s">
        <v>48</v>
      </c>
      <c r="B33" s="113"/>
      <c r="C33" s="113"/>
      <c r="D33" s="67">
        <f>'Pryse + Sensatiwiteitsanali'!D5</f>
        <v>322</v>
      </c>
      <c r="E33" s="67">
        <f>$D$33</f>
        <v>322</v>
      </c>
      <c r="F33" s="67">
        <f>$D$33</f>
        <v>322</v>
      </c>
      <c r="G33" s="67">
        <f>$D$33</f>
        <v>322</v>
      </c>
      <c r="H33" s="67">
        <f>$D$33</f>
        <v>322</v>
      </c>
      <c r="I33" s="67">
        <f>$D$33</f>
        <v>322</v>
      </c>
      <c r="J33" s="4"/>
      <c r="K33" s="17"/>
    </row>
    <row r="34" spans="1:11" ht="13.5" thickBot="1">
      <c r="A34" s="109"/>
      <c r="B34" s="110"/>
      <c r="C34" s="110"/>
      <c r="D34" s="70"/>
      <c r="E34" s="70"/>
      <c r="F34" s="70"/>
      <c r="G34" s="70"/>
      <c r="H34" s="70"/>
      <c r="I34" s="70"/>
      <c r="J34" s="4"/>
      <c r="K34" s="17"/>
    </row>
    <row r="35" spans="1:11" ht="24.75" customHeight="1" thickBot="1">
      <c r="A35" s="281" t="s">
        <v>49</v>
      </c>
      <c r="B35" s="282"/>
      <c r="C35" s="283"/>
      <c r="D35" s="69">
        <f aca="true" t="shared" si="4" ref="D35:I35">D31+D33</f>
        <v>7550.956238951938</v>
      </c>
      <c r="E35" s="69">
        <f t="shared" si="4"/>
        <v>6390.852726316977</v>
      </c>
      <c r="F35" s="69">
        <f t="shared" si="4"/>
        <v>5617.450384560339</v>
      </c>
      <c r="G35" s="69">
        <f t="shared" si="4"/>
        <v>5065.020140448453</v>
      </c>
      <c r="H35" s="69">
        <f t="shared" si="4"/>
        <v>4650.697457364539</v>
      </c>
      <c r="I35" s="69">
        <f t="shared" si="4"/>
        <v>4039.6466327278854</v>
      </c>
      <c r="J35" s="4"/>
      <c r="K35" s="17"/>
    </row>
    <row r="36" spans="1:11" ht="13.5" thickBot="1">
      <c r="A36" s="107" t="s">
        <v>50</v>
      </c>
      <c r="B36" s="108"/>
      <c r="C36" s="7"/>
      <c r="D36" s="69">
        <f>'Pryse + Sensatiwiteitsanali'!B5</f>
        <v>6000</v>
      </c>
      <c r="E36" s="69">
        <f>$D$36</f>
        <v>6000</v>
      </c>
      <c r="F36" s="69">
        <f>$D$36</f>
        <v>6000</v>
      </c>
      <c r="G36" s="69">
        <f>$D$36</f>
        <v>6000</v>
      </c>
      <c r="H36" s="69">
        <f>$D$36</f>
        <v>6000</v>
      </c>
      <c r="I36" s="69">
        <f>$D$36</f>
        <v>6000</v>
      </c>
      <c r="J36" s="17"/>
      <c r="K36" s="4"/>
    </row>
    <row r="37" spans="4:10" ht="12.75">
      <c r="D37" s="98"/>
      <c r="E37" s="98"/>
      <c r="F37" s="98"/>
      <c r="G37" s="98"/>
      <c r="H37" s="98"/>
      <c r="I37" s="98"/>
      <c r="J37" s="4"/>
    </row>
    <row r="38" spans="1:10" ht="13.5" thickBot="1">
      <c r="A38" s="4"/>
      <c r="B38" s="32"/>
      <c r="C38" s="4"/>
      <c r="D38" s="72"/>
      <c r="E38" s="72"/>
      <c r="F38" s="72"/>
      <c r="G38" s="72"/>
      <c r="H38" s="72"/>
      <c r="I38" s="72"/>
      <c r="J38" s="4"/>
    </row>
    <row r="39" spans="1:10" ht="12.75">
      <c r="A39" s="1" t="s">
        <v>10</v>
      </c>
      <c r="B39" s="33"/>
      <c r="C39" s="34"/>
      <c r="D39" s="34"/>
      <c r="E39" s="34"/>
      <c r="F39" s="34"/>
      <c r="G39" s="34"/>
      <c r="H39" s="35"/>
      <c r="I39" s="17"/>
      <c r="J39" s="4"/>
    </row>
    <row r="40" spans="1:10" ht="12.75">
      <c r="A40" s="36" t="s">
        <v>1</v>
      </c>
      <c r="B40" s="37"/>
      <c r="C40" s="38"/>
      <c r="D40" s="39"/>
      <c r="E40" s="39"/>
      <c r="F40" s="39"/>
      <c r="G40" s="39"/>
      <c r="H40" s="40"/>
      <c r="I40" s="17"/>
      <c r="J40" s="4"/>
    </row>
    <row r="41" spans="1:16" ht="13.5" thickBot="1">
      <c r="A41" s="41" t="s">
        <v>0</v>
      </c>
      <c r="B41" s="42"/>
      <c r="C41" s="43"/>
      <c r="D41" s="43"/>
      <c r="E41" s="43"/>
      <c r="F41" s="43"/>
      <c r="G41" s="44"/>
      <c r="H41" s="45"/>
      <c r="I41" s="17"/>
      <c r="J41" s="4"/>
      <c r="P41" s="71"/>
    </row>
    <row r="42" spans="1:10" ht="13.5" thickBot="1">
      <c r="A42" s="46"/>
      <c r="B42" s="11"/>
      <c r="C42" s="47" t="s">
        <v>2</v>
      </c>
      <c r="D42" s="48"/>
      <c r="E42" s="48"/>
      <c r="F42" s="48"/>
      <c r="G42" s="49"/>
      <c r="H42" s="50"/>
      <c r="I42" s="17"/>
      <c r="J42" s="4"/>
    </row>
    <row r="43" spans="1:10" ht="13.5" thickBot="1">
      <c r="A43" s="5"/>
      <c r="B43" s="32"/>
      <c r="C43" s="4"/>
      <c r="D43" s="4"/>
      <c r="E43" s="4"/>
      <c r="F43" s="4"/>
      <c r="G43" s="4"/>
      <c r="H43" s="51"/>
      <c r="I43" s="17"/>
      <c r="J43" s="4"/>
    </row>
    <row r="44" spans="1:10" ht="13.5" thickBot="1">
      <c r="A44" s="5"/>
      <c r="B44" s="52"/>
      <c r="C44" s="53">
        <v>6078</v>
      </c>
      <c r="D44" s="53">
        <v>6178</v>
      </c>
      <c r="E44" s="54">
        <v>6278</v>
      </c>
      <c r="F44" s="53">
        <v>6378</v>
      </c>
      <c r="G44" s="55">
        <v>6478</v>
      </c>
      <c r="H44" s="51"/>
      <c r="I44" s="17"/>
      <c r="J44" s="4"/>
    </row>
    <row r="45" spans="1:10" ht="12.75">
      <c r="A45" s="5"/>
      <c r="B45" s="78">
        <v>1</v>
      </c>
      <c r="C45" s="79">
        <v>-1150.9562389519378</v>
      </c>
      <c r="D45" s="80">
        <v>-1050.9562389519378</v>
      </c>
      <c r="E45" s="80">
        <v>-950.9562389519378</v>
      </c>
      <c r="F45" s="80">
        <v>-850.9562389519378</v>
      </c>
      <c r="G45" s="81">
        <v>-750.9562389519378</v>
      </c>
      <c r="H45" s="51"/>
      <c r="I45" s="17"/>
      <c r="J45" s="4"/>
    </row>
    <row r="46" spans="1:10" ht="12.75">
      <c r="A46" s="5"/>
      <c r="B46" s="78"/>
      <c r="C46" s="82"/>
      <c r="D46" s="75"/>
      <c r="E46" s="75"/>
      <c r="F46" s="75"/>
      <c r="G46" s="76"/>
      <c r="H46" s="51"/>
      <c r="I46" s="17"/>
      <c r="J46" s="4"/>
    </row>
    <row r="47" spans="1:10" ht="12.75">
      <c r="A47" s="5"/>
      <c r="B47" s="78">
        <v>1.25</v>
      </c>
      <c r="C47" s="82">
        <v>11.434092103778312</v>
      </c>
      <c r="D47" s="75">
        <v>136.4340921037783</v>
      </c>
      <c r="E47" s="75">
        <v>261.4340921037783</v>
      </c>
      <c r="F47" s="75">
        <v>386.4340921037783</v>
      </c>
      <c r="G47" s="76">
        <v>511.4340921037783</v>
      </c>
      <c r="H47" s="51"/>
      <c r="I47" s="17"/>
      <c r="J47" s="4"/>
    </row>
    <row r="48" spans="1:10" ht="13.5" thickBot="1">
      <c r="A48" s="58"/>
      <c r="B48" s="78"/>
      <c r="C48" s="82"/>
      <c r="D48" s="75"/>
      <c r="E48" s="75"/>
      <c r="F48" s="75"/>
      <c r="G48" s="76"/>
      <c r="H48" s="51"/>
      <c r="I48" s="17"/>
      <c r="J48" s="4"/>
    </row>
    <row r="49" spans="1:10" ht="13.5" thickBot="1">
      <c r="A49" s="59" t="s">
        <v>4</v>
      </c>
      <c r="B49" s="83">
        <v>1.5</v>
      </c>
      <c r="C49" s="82">
        <v>1173.8244231594908</v>
      </c>
      <c r="D49" s="75">
        <v>1323.8244231594908</v>
      </c>
      <c r="E49" s="84">
        <v>1473.8244231594908</v>
      </c>
      <c r="F49" s="75">
        <v>1623.8244231594908</v>
      </c>
      <c r="G49" s="76">
        <v>1773.8244231594908</v>
      </c>
      <c r="H49" s="51"/>
      <c r="I49" s="17"/>
      <c r="J49" s="4"/>
    </row>
    <row r="50" spans="1:10" ht="12.75">
      <c r="A50" s="5"/>
      <c r="B50" s="78"/>
      <c r="C50" s="82"/>
      <c r="D50" s="75"/>
      <c r="E50" s="75"/>
      <c r="F50" s="75"/>
      <c r="G50" s="76"/>
      <c r="H50" s="51"/>
      <c r="I50" s="17"/>
      <c r="J50" s="4"/>
    </row>
    <row r="51" spans="1:10" ht="12.75">
      <c r="A51" s="5"/>
      <c r="B51" s="78">
        <v>1.75</v>
      </c>
      <c r="C51" s="82">
        <v>2336.214754215207</v>
      </c>
      <c r="D51" s="75">
        <v>2511.214754215207</v>
      </c>
      <c r="E51" s="75">
        <v>2686.214754215207</v>
      </c>
      <c r="F51" s="75">
        <v>2861.214754215207</v>
      </c>
      <c r="G51" s="76">
        <v>3036.214754215207</v>
      </c>
      <c r="H51" s="51"/>
      <c r="I51" s="17"/>
      <c r="J51" s="4"/>
    </row>
    <row r="52" spans="1:10" ht="12.75">
      <c r="A52" s="5"/>
      <c r="B52" s="78"/>
      <c r="C52" s="82"/>
      <c r="D52" s="75"/>
      <c r="E52" s="75"/>
      <c r="F52" s="75"/>
      <c r="G52" s="76"/>
      <c r="H52" s="51"/>
      <c r="I52" s="17"/>
      <c r="J52" s="4"/>
    </row>
    <row r="53" spans="1:10" ht="12.75">
      <c r="A53" s="5"/>
      <c r="B53" s="78">
        <v>2</v>
      </c>
      <c r="C53" s="82">
        <v>3498.6050852709213</v>
      </c>
      <c r="D53" s="75">
        <v>3698.6050852709213</v>
      </c>
      <c r="E53" s="75">
        <v>3898.6050852709213</v>
      </c>
      <c r="F53" s="75">
        <v>4098.605085270921</v>
      </c>
      <c r="G53" s="76">
        <v>4298.605085270921</v>
      </c>
      <c r="H53" s="51"/>
      <c r="I53" s="17"/>
      <c r="J53" s="4"/>
    </row>
    <row r="54" spans="1:10" ht="12.75">
      <c r="A54" s="5"/>
      <c r="B54" s="78"/>
      <c r="C54" s="82"/>
      <c r="D54" s="75"/>
      <c r="E54" s="75"/>
      <c r="F54" s="75"/>
      <c r="G54" s="76"/>
      <c r="H54" s="51"/>
      <c r="I54" s="17"/>
      <c r="J54" s="4"/>
    </row>
    <row r="55" spans="1:9" ht="13.5" thickBot="1">
      <c r="A55" s="5"/>
      <c r="B55" s="85">
        <v>2.5</v>
      </c>
      <c r="C55" s="86">
        <v>5900.883418180287</v>
      </c>
      <c r="D55" s="87">
        <v>6150.883418180287</v>
      </c>
      <c r="E55" s="87">
        <v>6400.883418180287</v>
      </c>
      <c r="F55" s="87">
        <v>6650.883418180287</v>
      </c>
      <c r="G55" s="88">
        <v>6900.883418180287</v>
      </c>
      <c r="H55" s="51"/>
      <c r="I55" s="17"/>
    </row>
    <row r="56" spans="1:8" ht="13.5" thickBot="1">
      <c r="A56" s="62"/>
      <c r="B56" s="13"/>
      <c r="C56" s="13"/>
      <c r="D56" s="13"/>
      <c r="E56" s="13"/>
      <c r="F56" s="13"/>
      <c r="G56" s="13"/>
      <c r="H56" s="6"/>
    </row>
    <row r="57" spans="1:10" ht="15">
      <c r="A57" s="132" t="s">
        <v>55</v>
      </c>
      <c r="B57" s="133"/>
      <c r="C57" s="133"/>
      <c r="D57" s="133"/>
      <c r="E57" s="133"/>
      <c r="F57" s="133"/>
      <c r="G57" s="133"/>
      <c r="H57" s="134"/>
      <c r="I57" s="131"/>
      <c r="J57" s="131"/>
    </row>
    <row r="58" spans="1:10" ht="15">
      <c r="A58" s="135" t="s">
        <v>56</v>
      </c>
      <c r="B58" s="136"/>
      <c r="C58" s="136"/>
      <c r="D58" s="136"/>
      <c r="E58" s="136"/>
      <c r="F58" s="136"/>
      <c r="G58" s="136"/>
      <c r="H58" s="137"/>
      <c r="I58" s="131"/>
      <c r="J58" s="131"/>
    </row>
    <row r="59" spans="1:10" ht="15.75" thickBot="1">
      <c r="A59" s="138" t="s">
        <v>57</v>
      </c>
      <c r="B59" s="139"/>
      <c r="C59" s="139"/>
      <c r="D59" s="139"/>
      <c r="E59" s="139"/>
      <c r="F59" s="139"/>
      <c r="G59" s="139"/>
      <c r="H59" s="140"/>
      <c r="I59" s="131"/>
      <c r="J59" s="131"/>
    </row>
    <row r="114" ht="12.75"/>
    <row r="115" ht="12.75"/>
    <row r="116" ht="12.75"/>
  </sheetData>
  <sheetProtection/>
  <mergeCells count="10">
    <mergeCell ref="M7:O7"/>
    <mergeCell ref="A1:D1"/>
    <mergeCell ref="E1:G1"/>
    <mergeCell ref="A31:C31"/>
    <mergeCell ref="A35:C35"/>
    <mergeCell ref="A3:C3"/>
    <mergeCell ref="A8:C8"/>
    <mergeCell ref="A25:C25"/>
    <mergeCell ref="A27:C27"/>
    <mergeCell ref="A29:C29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61" r:id="rId2"/>
  <headerFooter alignWithMargins="0">
    <oddHeader>&amp;C&amp;F</oddHeader>
    <oddFooter>&amp;C&amp;A&amp;RPage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26" width="12.7109375" style="2" customWidth="1"/>
    <col min="27" max="16384" width="9.140625" style="2" customWidth="1"/>
  </cols>
  <sheetData>
    <row r="1" spans="1:10" s="4" customFormat="1" ht="30.75" customHeight="1" thickBot="1">
      <c r="A1" s="276" t="s">
        <v>60</v>
      </c>
      <c r="B1" s="277"/>
      <c r="C1" s="277"/>
      <c r="D1" s="277"/>
      <c r="E1" s="278" t="s">
        <v>15</v>
      </c>
      <c r="F1" s="278"/>
      <c r="G1" s="278"/>
      <c r="H1" s="3"/>
      <c r="I1" s="18"/>
      <c r="J1" s="17"/>
    </row>
    <row r="2" spans="1:10" ht="16.5" thickBot="1">
      <c r="A2" s="19"/>
      <c r="B2" s="20"/>
      <c r="C2" s="21"/>
      <c r="D2" s="21"/>
      <c r="E2" s="6"/>
      <c r="F2" s="13"/>
      <c r="G2" s="13"/>
      <c r="H2" s="13"/>
      <c r="I2" s="6"/>
      <c r="J2" s="4"/>
    </row>
    <row r="3" spans="1:11" s="220" customFormat="1" ht="39.75" customHeight="1" thickBot="1">
      <c r="A3" s="216" t="s">
        <v>95</v>
      </c>
      <c r="B3" s="127"/>
      <c r="C3" s="127"/>
      <c r="D3" s="217" t="s">
        <v>96</v>
      </c>
      <c r="E3" s="218" t="s">
        <v>97</v>
      </c>
      <c r="F3" s="127"/>
      <c r="G3" s="127"/>
      <c r="H3" s="127"/>
      <c r="I3" s="127"/>
      <c r="J3" s="219"/>
      <c r="K3" s="219"/>
    </row>
    <row r="4" spans="1:11" s="220" customFormat="1" ht="12.75">
      <c r="A4" s="221" t="s">
        <v>98</v>
      </c>
      <c r="B4" s="222"/>
      <c r="C4" s="222"/>
      <c r="D4" s="223">
        <f>'[1]Pryse + Sensatiwiteitsanalise'!B8-'[1]Pryse + Sensatiwiteitsanalise'!D8</f>
        <v>11937</v>
      </c>
      <c r="E4" s="224">
        <v>0.6</v>
      </c>
      <c r="F4" s="223"/>
      <c r="G4" s="223"/>
      <c r="H4" s="223"/>
      <c r="I4" s="225"/>
      <c r="J4" s="219"/>
      <c r="K4" s="219"/>
    </row>
    <row r="5" spans="1:11" s="220" customFormat="1" ht="12.75">
      <c r="A5" s="226" t="s">
        <v>99</v>
      </c>
      <c r="B5" s="222"/>
      <c r="C5" s="222"/>
      <c r="D5" s="223">
        <f>'[1]Pryse + Sensatiwiteitsanalise'!B9</f>
        <v>8250</v>
      </c>
      <c r="E5" s="224">
        <v>0.25</v>
      </c>
      <c r="F5" s="223"/>
      <c r="G5" s="223"/>
      <c r="H5" s="223"/>
      <c r="I5" s="225"/>
      <c r="J5" s="219"/>
      <c r="K5" s="219"/>
    </row>
    <row r="6" spans="1:11" s="220" customFormat="1" ht="12.75">
      <c r="A6" s="226" t="s">
        <v>100</v>
      </c>
      <c r="B6" s="222"/>
      <c r="C6" s="222"/>
      <c r="D6" s="223">
        <f>'[1]Pryse + Sensatiwiteitsanalise'!B10</f>
        <v>4000</v>
      </c>
      <c r="E6" s="224">
        <v>0.1</v>
      </c>
      <c r="F6" s="223"/>
      <c r="G6" s="223"/>
      <c r="H6" s="223"/>
      <c r="I6" s="225"/>
      <c r="J6" s="219"/>
      <c r="K6" s="219"/>
    </row>
    <row r="7" spans="1:11" s="220" customFormat="1" ht="12.75">
      <c r="A7" s="226" t="s">
        <v>101</v>
      </c>
      <c r="B7" s="222"/>
      <c r="C7" s="222"/>
      <c r="D7" s="223">
        <f>'[1]Pryse + Sensatiwiteitsanalise'!B11</f>
        <v>1500</v>
      </c>
      <c r="E7" s="224">
        <v>0.05</v>
      </c>
      <c r="F7" s="223"/>
      <c r="G7" s="223"/>
      <c r="H7" s="223"/>
      <c r="I7" s="225"/>
      <c r="J7" s="219"/>
      <c r="K7" s="219"/>
    </row>
    <row r="8" spans="1:11" s="220" customFormat="1" ht="13.5" thickBot="1">
      <c r="A8" s="227" t="s">
        <v>102</v>
      </c>
      <c r="B8" s="228"/>
      <c r="C8" s="228"/>
      <c r="D8" s="229">
        <v>1200</v>
      </c>
      <c r="E8" s="230"/>
      <c r="F8" s="229"/>
      <c r="G8" s="229"/>
      <c r="H8" s="229"/>
      <c r="I8" s="231"/>
      <c r="J8" s="219"/>
      <c r="K8" s="219"/>
    </row>
    <row r="9" spans="1:11" s="220" customFormat="1" ht="15" customHeight="1" thickBot="1">
      <c r="A9" s="281" t="s">
        <v>103</v>
      </c>
      <c r="B9" s="290"/>
      <c r="C9" s="290"/>
      <c r="D9" s="232">
        <f>(D4*E4)+(D5*E5)+(D6*E6)+(D7*E7)</f>
        <v>9699.7</v>
      </c>
      <c r="E9" s="233" t="s">
        <v>3</v>
      </c>
      <c r="F9" s="233"/>
      <c r="G9" s="234"/>
      <c r="H9" s="234"/>
      <c r="I9" s="127"/>
      <c r="K9" s="219"/>
    </row>
    <row r="10" spans="1:11" ht="13.5" thickBot="1">
      <c r="A10" s="115"/>
      <c r="B10" s="128"/>
      <c r="C10" s="128"/>
      <c r="D10" s="8"/>
      <c r="E10" s="100"/>
      <c r="F10" s="23"/>
      <c r="G10" s="9"/>
      <c r="H10" s="24"/>
      <c r="I10" s="24"/>
      <c r="J10" s="4"/>
      <c r="K10" s="4"/>
    </row>
    <row r="11" spans="1:11" ht="13.5" thickBot="1">
      <c r="A11" s="115" t="s">
        <v>25</v>
      </c>
      <c r="B11" s="128"/>
      <c r="C11" s="128"/>
      <c r="D11" s="97">
        <v>1.5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4"/>
      <c r="K11" s="4"/>
    </row>
    <row r="12" spans="1:11" ht="13.5" thickBot="1">
      <c r="A12" s="116" t="s">
        <v>26</v>
      </c>
      <c r="B12" s="129"/>
      <c r="C12" s="130"/>
      <c r="D12" s="73">
        <f>(D9*D11)+(D8*D11)</f>
        <v>16349.550000000001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4"/>
      <c r="K12" s="4"/>
    </row>
    <row r="13" spans="1:11" ht="13.5" thickBot="1">
      <c r="A13" s="118"/>
      <c r="B13" s="119"/>
      <c r="C13" s="119"/>
      <c r="D13" s="26"/>
      <c r="E13" s="26"/>
      <c r="F13" s="26"/>
      <c r="G13" s="26"/>
      <c r="H13" s="26"/>
      <c r="I13" s="26"/>
      <c r="J13" s="4"/>
      <c r="K13" s="4"/>
    </row>
    <row r="14" spans="1:11" ht="28.5" customHeight="1" thickBot="1">
      <c r="A14" s="257" t="s">
        <v>27</v>
      </c>
      <c r="B14" s="258"/>
      <c r="C14" s="259"/>
      <c r="D14" s="27"/>
      <c r="E14" s="27"/>
      <c r="F14" s="27"/>
      <c r="G14" s="27"/>
      <c r="H14" s="27"/>
      <c r="I14" s="27"/>
      <c r="J14" s="4"/>
      <c r="K14" s="4"/>
    </row>
    <row r="15" spans="1:11" ht="12.75">
      <c r="A15" s="120" t="s">
        <v>28</v>
      </c>
      <c r="B15" s="121"/>
      <c r="C15" s="121"/>
      <c r="D15" s="65">
        <v>1200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4"/>
      <c r="K15" s="4"/>
    </row>
    <row r="16" spans="1:11" ht="12.75">
      <c r="A16" s="117" t="s">
        <v>29</v>
      </c>
      <c r="B16" s="122"/>
      <c r="C16" s="122"/>
      <c r="D16" s="66">
        <v>881.5999999999999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4"/>
      <c r="K16" s="4"/>
    </row>
    <row r="17" spans="1:11" ht="12.75">
      <c r="A17" s="117" t="s">
        <v>30</v>
      </c>
      <c r="B17" s="122"/>
      <c r="C17" s="122"/>
      <c r="D17" s="66">
        <v>530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4"/>
      <c r="K17" s="4"/>
    </row>
    <row r="18" spans="1:11" ht="12.75">
      <c r="A18" s="117" t="s">
        <v>31</v>
      </c>
      <c r="B18" s="122"/>
      <c r="C18" s="122"/>
      <c r="D18" s="66">
        <v>1086.901985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4"/>
      <c r="K18" s="4"/>
    </row>
    <row r="19" spans="1:11" ht="12.75">
      <c r="A19" s="117" t="s">
        <v>32</v>
      </c>
      <c r="B19" s="122"/>
      <c r="C19" s="122"/>
      <c r="D19" s="66">
        <v>927.4054781376519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4"/>
      <c r="K19" s="4"/>
    </row>
    <row r="20" spans="1:11" ht="12.75">
      <c r="A20" s="117" t="s">
        <v>33</v>
      </c>
      <c r="B20" s="122"/>
      <c r="C20" s="122"/>
      <c r="D20" s="66">
        <v>559.25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4"/>
      <c r="K20" s="4"/>
    </row>
    <row r="21" spans="1:11" ht="12.75">
      <c r="A21" s="117" t="s">
        <v>34</v>
      </c>
      <c r="B21" s="122"/>
      <c r="C21" s="122"/>
      <c r="D21" s="66">
        <v>529.71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4"/>
      <c r="K21" s="4"/>
    </row>
    <row r="22" spans="1:11" ht="12.75">
      <c r="A22" s="117" t="s">
        <v>35</v>
      </c>
      <c r="B22" s="122"/>
      <c r="C22" s="122"/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4"/>
      <c r="K22" s="4"/>
    </row>
    <row r="23" spans="1:11" ht="12.75">
      <c r="A23" s="117" t="s">
        <v>36</v>
      </c>
      <c r="B23" s="122"/>
      <c r="C23" s="122"/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4"/>
      <c r="K23" s="4"/>
    </row>
    <row r="24" spans="1:11" ht="12.75">
      <c r="A24" s="117" t="s">
        <v>37</v>
      </c>
      <c r="B24" s="122"/>
      <c r="C24" s="122"/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4"/>
      <c r="K24" s="4"/>
    </row>
    <row r="25" spans="1:11" ht="12.75">
      <c r="A25" s="117" t="s">
        <v>38</v>
      </c>
      <c r="B25" s="122"/>
      <c r="C25" s="122"/>
      <c r="D25" s="66">
        <v>609.8829000000001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4"/>
      <c r="K25" s="4"/>
    </row>
    <row r="26" spans="1:11" ht="12.75">
      <c r="A26" s="117" t="s">
        <v>39</v>
      </c>
      <c r="B26" s="122"/>
      <c r="C26" s="122"/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4"/>
      <c r="K26" s="4"/>
    </row>
    <row r="27" spans="1:11" ht="12.75">
      <c r="A27" s="117" t="s">
        <v>40</v>
      </c>
      <c r="B27" s="122"/>
      <c r="C27" s="122"/>
      <c r="D27" s="66">
        <v>800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4"/>
      <c r="K27" s="4"/>
    </row>
    <row r="28" spans="1:11" ht="12.75">
      <c r="A28" s="117" t="s">
        <v>41</v>
      </c>
      <c r="B28" s="122"/>
      <c r="C28" s="122"/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4"/>
      <c r="K28" s="4"/>
    </row>
    <row r="29" spans="1:11" ht="12.75">
      <c r="A29" s="117" t="s">
        <v>42</v>
      </c>
      <c r="B29" s="122"/>
      <c r="C29" s="122"/>
      <c r="D29" s="66">
        <v>400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4"/>
      <c r="K29" s="4"/>
    </row>
    <row r="30" spans="1:11" ht="13.5" thickBot="1">
      <c r="A30" s="117" t="s">
        <v>43</v>
      </c>
      <c r="B30" s="122"/>
      <c r="C30" s="122"/>
      <c r="D30" s="66">
        <v>374.04939406472676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4"/>
      <c r="K30" s="4"/>
    </row>
    <row r="31" spans="1:11" ht="27.75" customHeight="1" thickBot="1">
      <c r="A31" s="260" t="s">
        <v>44</v>
      </c>
      <c r="B31" s="261"/>
      <c r="C31" s="262"/>
      <c r="D31" s="67">
        <f>SUM(D15:D30)</f>
        <v>7898.799757202378</v>
      </c>
      <c r="E31" s="101"/>
      <c r="F31" s="67">
        <v>0</v>
      </c>
      <c r="G31" s="67">
        <v>0</v>
      </c>
      <c r="H31" s="67">
        <v>0</v>
      </c>
      <c r="I31" s="67">
        <v>0</v>
      </c>
      <c r="J31" s="4"/>
      <c r="K31" s="4"/>
    </row>
    <row r="32" spans="1:11" ht="13.5" thickBot="1">
      <c r="A32" s="123"/>
      <c r="B32" s="124"/>
      <c r="C32" s="124"/>
      <c r="D32" s="68"/>
      <c r="E32" s="68"/>
      <c r="F32" s="68"/>
      <c r="G32" s="68"/>
      <c r="H32" s="68"/>
      <c r="I32" s="68"/>
      <c r="J32" s="4"/>
      <c r="K32" s="4"/>
    </row>
    <row r="33" spans="1:11" ht="13.5" customHeight="1" thickBot="1">
      <c r="A33" s="263" t="s">
        <v>45</v>
      </c>
      <c r="B33" s="264"/>
      <c r="C33" s="265"/>
      <c r="D33" s="67">
        <v>2440.336781438091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30"/>
      <c r="K33" s="4"/>
    </row>
    <row r="34" spans="1:11" ht="13.5" thickBot="1">
      <c r="A34" s="123"/>
      <c r="B34" s="124"/>
      <c r="C34" s="124"/>
      <c r="D34" s="68"/>
      <c r="E34" s="68"/>
      <c r="F34" s="68"/>
      <c r="G34" s="68"/>
      <c r="H34" s="68"/>
      <c r="I34" s="68"/>
      <c r="J34" s="4"/>
      <c r="K34" s="4"/>
    </row>
    <row r="35" spans="1:11" ht="26.25" customHeight="1" thickBot="1">
      <c r="A35" s="260" t="s">
        <v>46</v>
      </c>
      <c r="B35" s="261"/>
      <c r="C35" s="262"/>
      <c r="D35" s="67">
        <f>D31+D33</f>
        <v>10339.136538640469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4"/>
      <c r="K35" s="4"/>
    </row>
    <row r="36" spans="1:11" ht="13.5" thickBot="1">
      <c r="A36" s="118"/>
      <c r="B36" s="119"/>
      <c r="C36" s="119"/>
      <c r="D36" s="70"/>
      <c r="E36" s="70"/>
      <c r="F36" s="70"/>
      <c r="G36" s="70"/>
      <c r="H36" s="70"/>
      <c r="I36" s="70"/>
      <c r="J36" s="4"/>
      <c r="K36" s="4"/>
    </row>
    <row r="37" spans="1:11" ht="27.75" customHeight="1" thickBot="1">
      <c r="A37" s="260" t="s">
        <v>47</v>
      </c>
      <c r="B37" s="261"/>
      <c r="C37" s="262"/>
      <c r="D37" s="67">
        <f>D35/D11</f>
        <v>6892.757692426979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4"/>
      <c r="K37" s="4"/>
    </row>
    <row r="38" spans="1:11" ht="13.5" thickBot="1">
      <c r="A38" s="118"/>
      <c r="B38" s="119"/>
      <c r="C38" s="119"/>
      <c r="D38" s="70"/>
      <c r="E38" s="70"/>
      <c r="F38" s="70"/>
      <c r="G38" s="70"/>
      <c r="H38" s="70"/>
      <c r="I38" s="70"/>
      <c r="J38" s="4"/>
      <c r="K38" s="4"/>
    </row>
    <row r="39" spans="1:11" ht="13.5" thickBot="1">
      <c r="A39" s="116" t="s">
        <v>48</v>
      </c>
      <c r="B39" s="129"/>
      <c r="C39" s="129"/>
      <c r="D39" s="67">
        <v>63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4"/>
      <c r="K39" s="4"/>
    </row>
    <row r="40" spans="1:11" ht="13.5" thickBot="1">
      <c r="A40" s="118"/>
      <c r="B40" s="119"/>
      <c r="C40" s="119"/>
      <c r="D40" s="70"/>
      <c r="E40" s="70"/>
      <c r="F40" s="70"/>
      <c r="G40" s="70"/>
      <c r="H40" s="70"/>
      <c r="I40" s="70"/>
      <c r="J40" s="4"/>
      <c r="K40" s="4"/>
    </row>
    <row r="41" spans="1:11" ht="13.5" customHeight="1" thickBot="1">
      <c r="A41" s="287" t="s">
        <v>51</v>
      </c>
      <c r="B41" s="288"/>
      <c r="C41" s="289"/>
      <c r="D41" s="69">
        <f>D37+D39</f>
        <v>6955.757692426979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4"/>
      <c r="K41" s="4"/>
    </row>
    <row r="42" spans="1:11" ht="13.5" thickBot="1">
      <c r="A42" s="125" t="s">
        <v>52</v>
      </c>
      <c r="B42" s="126"/>
      <c r="C42" s="127"/>
      <c r="D42" s="69">
        <f>'Pryse + Sensatiwiteitsanali'!B8</f>
        <v>12000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17"/>
      <c r="K42" s="4"/>
    </row>
    <row r="43" spans="1:10" ht="13.5" thickBot="1">
      <c r="A43" s="125" t="s">
        <v>53</v>
      </c>
      <c r="B43" s="126"/>
      <c r="C43" s="127"/>
      <c r="D43" s="69">
        <f>D9</f>
        <v>9699.7</v>
      </c>
      <c r="E43" s="69"/>
      <c r="F43" s="69"/>
      <c r="G43" s="69"/>
      <c r="H43" s="69"/>
      <c r="I43" s="69"/>
      <c r="J43" s="4"/>
    </row>
    <row r="44" spans="1:10" ht="13.5" thickBot="1">
      <c r="A44" s="4"/>
      <c r="B44" s="32"/>
      <c r="C44" s="4"/>
      <c r="D44" s="4"/>
      <c r="E44" s="4"/>
      <c r="F44" s="4"/>
      <c r="G44" s="4"/>
      <c r="H44" s="4"/>
      <c r="I44" s="17"/>
      <c r="J44" s="4"/>
    </row>
    <row r="45" spans="1:10" ht="12.75">
      <c r="A45" s="1" t="s">
        <v>9</v>
      </c>
      <c r="B45" s="33"/>
      <c r="C45" s="34"/>
      <c r="D45" s="34"/>
      <c r="E45" s="34"/>
      <c r="F45" s="34"/>
      <c r="G45" s="34"/>
      <c r="H45" s="35"/>
      <c r="I45" s="17"/>
      <c r="J45" s="4"/>
    </row>
    <row r="46" spans="1:10" ht="12.75">
      <c r="A46" s="36" t="s">
        <v>1</v>
      </c>
      <c r="B46" s="37"/>
      <c r="C46" s="38"/>
      <c r="D46" s="39"/>
      <c r="E46" s="39"/>
      <c r="F46" s="39"/>
      <c r="G46" s="39"/>
      <c r="H46" s="40"/>
      <c r="I46" s="17"/>
      <c r="J46" s="4"/>
    </row>
    <row r="47" spans="1:16" ht="13.5" thickBot="1">
      <c r="A47" s="41" t="s">
        <v>0</v>
      </c>
      <c r="B47" s="42"/>
      <c r="C47" s="43"/>
      <c r="D47" s="43"/>
      <c r="E47" s="43"/>
      <c r="F47" s="43"/>
      <c r="G47" s="44"/>
      <c r="H47" s="45"/>
      <c r="I47" s="17"/>
      <c r="J47" s="4"/>
      <c r="P47" s="71"/>
    </row>
    <row r="48" spans="1:10" ht="13.5" thickBot="1">
      <c r="A48" s="46"/>
      <c r="B48" s="11"/>
      <c r="C48" s="47" t="s">
        <v>2</v>
      </c>
      <c r="D48" s="48"/>
      <c r="E48" s="48"/>
      <c r="F48" s="48"/>
      <c r="G48" s="49"/>
      <c r="H48" s="50"/>
      <c r="I48" s="17"/>
      <c r="J48" s="4"/>
    </row>
    <row r="49" spans="1:10" ht="13.5" thickBot="1">
      <c r="A49" s="5"/>
      <c r="B49" s="32"/>
      <c r="C49" s="4"/>
      <c r="D49" s="4"/>
      <c r="E49" s="4"/>
      <c r="F49" s="4"/>
      <c r="G49" s="4"/>
      <c r="H49" s="51"/>
      <c r="I49" s="17"/>
      <c r="J49" s="4"/>
    </row>
    <row r="50" spans="1:10" ht="13.5" thickBot="1">
      <c r="A50" s="5"/>
      <c r="B50" s="52"/>
      <c r="C50" s="53">
        <v>11737</v>
      </c>
      <c r="D50" s="53">
        <v>11837</v>
      </c>
      <c r="E50" s="54">
        <v>11937</v>
      </c>
      <c r="F50" s="53">
        <v>12037</v>
      </c>
      <c r="G50" s="55">
        <v>12137</v>
      </c>
      <c r="H50" s="51"/>
      <c r="I50" s="17"/>
      <c r="J50" s="4"/>
    </row>
    <row r="51" spans="1:10" ht="12.75">
      <c r="A51" s="5"/>
      <c r="B51" s="56">
        <v>1.5</v>
      </c>
      <c r="C51" s="79">
        <v>7266.363461359531</v>
      </c>
      <c r="D51" s="80">
        <v>7416.363461359531</v>
      </c>
      <c r="E51" s="80">
        <v>7566.363461359531</v>
      </c>
      <c r="F51" s="80">
        <v>7716.363461359531</v>
      </c>
      <c r="G51" s="81">
        <v>7866.363461359531</v>
      </c>
      <c r="H51" s="51"/>
      <c r="I51" s="17"/>
      <c r="J51" s="4"/>
    </row>
    <row r="52" spans="1:10" ht="12.75">
      <c r="A52" s="5"/>
      <c r="B52" s="57"/>
      <c r="C52" s="82"/>
      <c r="D52" s="75"/>
      <c r="E52" s="75"/>
      <c r="F52" s="75"/>
      <c r="G52" s="76"/>
      <c r="H52" s="51"/>
      <c r="I52" s="17"/>
      <c r="J52" s="4"/>
    </row>
    <row r="53" spans="1:10" ht="12.75">
      <c r="A53" s="5"/>
      <c r="B53" s="56">
        <v>0</v>
      </c>
      <c r="C53" s="82">
        <v>0</v>
      </c>
      <c r="D53" s="75">
        <v>0</v>
      </c>
      <c r="E53" s="75">
        <v>0</v>
      </c>
      <c r="F53" s="75">
        <v>0</v>
      </c>
      <c r="G53" s="76">
        <v>0</v>
      </c>
      <c r="H53" s="51"/>
      <c r="I53" s="17"/>
      <c r="J53" s="4"/>
    </row>
    <row r="54" spans="1:10" ht="13.5" thickBot="1">
      <c r="A54" s="58"/>
      <c r="B54" s="57"/>
      <c r="C54" s="82"/>
      <c r="D54" s="75"/>
      <c r="E54" s="75"/>
      <c r="F54" s="75"/>
      <c r="G54" s="76"/>
      <c r="H54" s="51"/>
      <c r="I54" s="17"/>
      <c r="J54" s="4"/>
    </row>
    <row r="55" spans="1:10" ht="13.5" thickBot="1">
      <c r="A55" s="59" t="s">
        <v>4</v>
      </c>
      <c r="B55" s="60">
        <v>0</v>
      </c>
      <c r="C55" s="82">
        <v>0</v>
      </c>
      <c r="D55" s="75">
        <v>0</v>
      </c>
      <c r="E55" s="84">
        <v>0</v>
      </c>
      <c r="F55" s="75">
        <v>0</v>
      </c>
      <c r="G55" s="76">
        <v>0</v>
      </c>
      <c r="H55" s="51"/>
      <c r="I55" s="17"/>
      <c r="J55" s="4"/>
    </row>
    <row r="56" spans="1:10" ht="12.75">
      <c r="A56" s="5"/>
      <c r="B56" s="57"/>
      <c r="C56" s="82"/>
      <c r="D56" s="75"/>
      <c r="E56" s="75"/>
      <c r="F56" s="75"/>
      <c r="G56" s="76"/>
      <c r="H56" s="51"/>
      <c r="I56" s="17"/>
      <c r="J56" s="4"/>
    </row>
    <row r="57" spans="1:10" ht="12.75">
      <c r="A57" s="5"/>
      <c r="B57" s="56">
        <v>0</v>
      </c>
      <c r="C57" s="82">
        <v>0</v>
      </c>
      <c r="D57" s="75">
        <v>0</v>
      </c>
      <c r="E57" s="75">
        <v>0</v>
      </c>
      <c r="F57" s="75">
        <v>0</v>
      </c>
      <c r="G57" s="76">
        <v>0</v>
      </c>
      <c r="H57" s="51"/>
      <c r="I57" s="17"/>
      <c r="J57" s="4"/>
    </row>
    <row r="58" spans="1:10" ht="12.75">
      <c r="A58" s="5"/>
      <c r="B58" s="57"/>
      <c r="C58" s="82"/>
      <c r="D58" s="75"/>
      <c r="E58" s="75"/>
      <c r="F58" s="75"/>
      <c r="G58" s="76"/>
      <c r="H58" s="51"/>
      <c r="I58" s="17"/>
      <c r="J58" s="4"/>
    </row>
    <row r="59" spans="1:10" ht="12.75">
      <c r="A59" s="5"/>
      <c r="B59" s="56">
        <v>0</v>
      </c>
      <c r="C59" s="82">
        <v>0</v>
      </c>
      <c r="D59" s="75">
        <v>0</v>
      </c>
      <c r="E59" s="75">
        <v>0</v>
      </c>
      <c r="F59" s="75">
        <v>0</v>
      </c>
      <c r="G59" s="76">
        <v>0</v>
      </c>
      <c r="H59" s="51"/>
      <c r="I59" s="17"/>
      <c r="J59" s="4"/>
    </row>
    <row r="60" spans="1:10" ht="12.75">
      <c r="A60" s="5"/>
      <c r="B60" s="57"/>
      <c r="C60" s="82"/>
      <c r="D60" s="75"/>
      <c r="E60" s="75"/>
      <c r="F60" s="75"/>
      <c r="G60" s="76"/>
      <c r="H60" s="51"/>
      <c r="I60" s="17"/>
      <c r="J60" s="4"/>
    </row>
    <row r="61" spans="1:9" ht="13.5" thickBot="1">
      <c r="A61" s="5"/>
      <c r="B61" s="61">
        <v>0</v>
      </c>
      <c r="C61" s="86">
        <v>0</v>
      </c>
      <c r="D61" s="87">
        <v>0</v>
      </c>
      <c r="E61" s="87">
        <v>0</v>
      </c>
      <c r="F61" s="87">
        <v>0</v>
      </c>
      <c r="G61" s="88">
        <v>0</v>
      </c>
      <c r="H61" s="51"/>
      <c r="I61" s="17"/>
    </row>
    <row r="62" spans="1:8" ht="13.5" thickBot="1">
      <c r="A62" s="62"/>
      <c r="B62" s="13"/>
      <c r="C62" s="13"/>
      <c r="D62" s="13"/>
      <c r="E62" s="13"/>
      <c r="F62" s="13"/>
      <c r="G62" s="13"/>
      <c r="H62" s="6"/>
    </row>
    <row r="63" spans="1:10" ht="15">
      <c r="A63" s="132" t="s">
        <v>55</v>
      </c>
      <c r="B63" s="133"/>
      <c r="C63" s="133"/>
      <c r="D63" s="133"/>
      <c r="E63" s="133"/>
      <c r="F63" s="133"/>
      <c r="G63" s="133"/>
      <c r="H63" s="134"/>
      <c r="I63" s="131"/>
      <c r="J63" s="131"/>
    </row>
    <row r="64" spans="1:10" ht="15">
      <c r="A64" s="135" t="s">
        <v>56</v>
      </c>
      <c r="B64" s="136"/>
      <c r="C64" s="136"/>
      <c r="D64" s="136"/>
      <c r="E64" s="136"/>
      <c r="F64" s="136"/>
      <c r="G64" s="136"/>
      <c r="H64" s="137"/>
      <c r="I64" s="131"/>
      <c r="J64" s="131"/>
    </row>
    <row r="65" spans="1:10" ht="15.75" thickBot="1">
      <c r="A65" s="138" t="s">
        <v>57</v>
      </c>
      <c r="B65" s="139"/>
      <c r="C65" s="139"/>
      <c r="D65" s="139"/>
      <c r="E65" s="139"/>
      <c r="F65" s="139"/>
      <c r="G65" s="139"/>
      <c r="H65" s="140"/>
      <c r="I65" s="131"/>
      <c r="J65" s="131"/>
    </row>
  </sheetData>
  <sheetProtection/>
  <mergeCells count="9">
    <mergeCell ref="A1:D1"/>
    <mergeCell ref="E1:G1"/>
    <mergeCell ref="A37:C37"/>
    <mergeCell ref="A41:C41"/>
    <mergeCell ref="A14:C14"/>
    <mergeCell ref="A31:C31"/>
    <mergeCell ref="A33:C33"/>
    <mergeCell ref="A35:C35"/>
    <mergeCell ref="A9:C9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0" r:id="rId2"/>
  <headerFooter>
    <oddHeader>&amp;C&amp;F</oddHeader>
    <oddFooter>&amp;C&amp;A&amp;RPage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8.00390625" style="2" customWidth="1"/>
    <col min="3" max="3" width="17.28125" style="2" customWidth="1"/>
    <col min="4" max="4" width="16.140625" style="2" customWidth="1"/>
    <col min="5" max="9" width="14.28125" style="2" customWidth="1"/>
    <col min="10" max="10" width="14.421875" style="2" customWidth="1"/>
    <col min="11" max="12" width="12.7109375" style="2" customWidth="1"/>
    <col min="13" max="15" width="12.7109375" style="2" hidden="1" customWidth="1"/>
    <col min="16" max="26" width="12.7109375" style="2" customWidth="1"/>
    <col min="27" max="16384" width="9.140625" style="2" customWidth="1"/>
  </cols>
  <sheetData>
    <row r="1" spans="1:10" s="4" customFormat="1" ht="31.5" customHeight="1" thickBot="1">
      <c r="A1" s="276" t="s">
        <v>61</v>
      </c>
      <c r="B1" s="277"/>
      <c r="C1" s="277"/>
      <c r="D1" s="277"/>
      <c r="E1" s="278" t="s">
        <v>15</v>
      </c>
      <c r="F1" s="278"/>
      <c r="G1" s="278"/>
      <c r="H1" s="3"/>
      <c r="I1" s="18"/>
      <c r="J1" s="17"/>
    </row>
    <row r="2" spans="1:10" ht="16.5" thickBot="1">
      <c r="A2" s="19"/>
      <c r="B2" s="20"/>
      <c r="C2" s="21"/>
      <c r="D2" s="21"/>
      <c r="E2" s="13"/>
      <c r="F2" s="13"/>
      <c r="G2" s="13"/>
      <c r="H2" s="13"/>
      <c r="I2" s="6"/>
      <c r="J2" s="4"/>
    </row>
    <row r="3" spans="1:11" ht="26.25" customHeight="1" thickBot="1">
      <c r="A3" s="287" t="s">
        <v>24</v>
      </c>
      <c r="B3" s="279"/>
      <c r="C3" s="279"/>
      <c r="D3" s="64"/>
      <c r="E3" s="77">
        <f>'Pryse + Sensatiwiteitsanali'!B89</f>
        <v>6137</v>
      </c>
      <c r="F3" s="64" t="s">
        <v>3</v>
      </c>
      <c r="G3" s="22"/>
      <c r="H3" s="22"/>
      <c r="I3" s="7"/>
      <c r="K3" s="4"/>
    </row>
    <row r="4" spans="1:11" ht="13.5" thickBot="1">
      <c r="A4" s="115"/>
      <c r="B4" s="128"/>
      <c r="C4" s="128"/>
      <c r="D4" s="8"/>
      <c r="E4" s="12"/>
      <c r="F4" s="23"/>
      <c r="G4" s="9"/>
      <c r="H4" s="24"/>
      <c r="I4" s="24"/>
      <c r="J4" s="4"/>
      <c r="K4" s="17"/>
    </row>
    <row r="5" spans="1:11" ht="13.5" thickBot="1">
      <c r="A5" s="115" t="s">
        <v>25</v>
      </c>
      <c r="B5" s="128"/>
      <c r="C5" s="128"/>
      <c r="D5" s="102">
        <v>1.25</v>
      </c>
      <c r="E5" s="102">
        <v>1.5</v>
      </c>
      <c r="F5" s="102">
        <v>1.75</v>
      </c>
      <c r="G5" s="102">
        <v>2</v>
      </c>
      <c r="H5" s="102">
        <v>2.25</v>
      </c>
      <c r="I5" s="97">
        <v>0</v>
      </c>
      <c r="J5" s="4"/>
      <c r="K5" s="17"/>
    </row>
    <row r="6" spans="1:11" ht="13.5" thickBot="1">
      <c r="A6" s="116" t="s">
        <v>26</v>
      </c>
      <c r="B6" s="129"/>
      <c r="C6" s="130"/>
      <c r="D6" s="73">
        <f aca="true" t="shared" si="0" ref="D6:I6">$E$3*D5</f>
        <v>7671.25</v>
      </c>
      <c r="E6" s="73">
        <f t="shared" si="0"/>
        <v>9205.5</v>
      </c>
      <c r="F6" s="73">
        <f t="shared" si="0"/>
        <v>10739.75</v>
      </c>
      <c r="G6" s="73">
        <f t="shared" si="0"/>
        <v>12274</v>
      </c>
      <c r="H6" s="73">
        <f t="shared" si="0"/>
        <v>13808.25</v>
      </c>
      <c r="I6" s="73">
        <f t="shared" si="0"/>
        <v>0</v>
      </c>
      <c r="J6" s="4"/>
      <c r="K6" s="17"/>
    </row>
    <row r="7" spans="1:15" ht="15.75" thickBot="1">
      <c r="A7" s="118"/>
      <c r="B7" s="119"/>
      <c r="C7" s="119"/>
      <c r="D7" s="26"/>
      <c r="E7" s="26"/>
      <c r="F7" s="26"/>
      <c r="G7" s="26"/>
      <c r="H7" s="26"/>
      <c r="I7" s="26"/>
      <c r="J7" s="4"/>
      <c r="K7" s="17"/>
      <c r="M7" s="266" t="s">
        <v>128</v>
      </c>
      <c r="N7" s="266"/>
      <c r="O7" s="266"/>
    </row>
    <row r="8" spans="1:15" ht="25.5" customHeight="1" thickBot="1">
      <c r="A8" s="257" t="s">
        <v>27</v>
      </c>
      <c r="B8" s="258"/>
      <c r="C8" s="259"/>
      <c r="D8" s="27"/>
      <c r="E8" s="27"/>
      <c r="F8" s="27"/>
      <c r="G8" s="27"/>
      <c r="H8" s="27"/>
      <c r="I8" s="27"/>
      <c r="J8" s="4"/>
      <c r="K8" s="17"/>
      <c r="M8" s="238" t="s">
        <v>120</v>
      </c>
      <c r="N8" s="238" t="s">
        <v>121</v>
      </c>
      <c r="O8" s="238" t="s">
        <v>122</v>
      </c>
    </row>
    <row r="9" spans="1:15" ht="15">
      <c r="A9" s="120" t="s">
        <v>28</v>
      </c>
      <c r="B9" s="121"/>
      <c r="C9" s="121"/>
      <c r="D9" s="65">
        <v>560.0550000000001</v>
      </c>
      <c r="E9" s="65">
        <v>560.0550000000001</v>
      </c>
      <c r="F9" s="65">
        <v>560.0550000000001</v>
      </c>
      <c r="G9" s="65">
        <v>560.0550000000001</v>
      </c>
      <c r="H9" s="65">
        <v>560.0550000000001</v>
      </c>
      <c r="I9" s="65">
        <v>0</v>
      </c>
      <c r="J9" s="4"/>
      <c r="K9" s="17"/>
      <c r="M9" s="239">
        <f>D5</f>
        <v>1.25</v>
      </c>
      <c r="N9" s="239">
        <f>D25</f>
        <v>5137.238634803998</v>
      </c>
      <c r="O9" s="239">
        <f>D27</f>
        <v>2201.8287814380915</v>
      </c>
    </row>
    <row r="10" spans="1:15" ht="15">
      <c r="A10" s="117" t="s">
        <v>29</v>
      </c>
      <c r="B10" s="122"/>
      <c r="C10" s="122"/>
      <c r="D10" s="66">
        <v>736.125</v>
      </c>
      <c r="E10" s="66">
        <v>861.55</v>
      </c>
      <c r="F10" s="66">
        <v>986.9749999999999</v>
      </c>
      <c r="G10" s="66">
        <v>1112.4</v>
      </c>
      <c r="H10" s="66">
        <v>1237.8249999999998</v>
      </c>
      <c r="I10" s="66">
        <v>0</v>
      </c>
      <c r="J10" s="4"/>
      <c r="K10" s="17"/>
      <c r="M10" s="239">
        <f>E5</f>
        <v>1.5</v>
      </c>
      <c r="N10" s="239">
        <f>E25</f>
        <v>5473.857433735642</v>
      </c>
      <c r="O10" s="239">
        <f>E27</f>
        <v>2201.8287814380915</v>
      </c>
    </row>
    <row r="11" spans="1:15" ht="15">
      <c r="A11" s="117" t="s">
        <v>30</v>
      </c>
      <c r="B11" s="122"/>
      <c r="C11" s="122"/>
      <c r="D11" s="66">
        <v>176.49</v>
      </c>
      <c r="E11" s="66">
        <v>176.49</v>
      </c>
      <c r="F11" s="66">
        <v>176.49</v>
      </c>
      <c r="G11" s="66">
        <v>176.49</v>
      </c>
      <c r="H11" s="66">
        <v>176.49</v>
      </c>
      <c r="I11" s="66">
        <v>0</v>
      </c>
      <c r="J11" s="4"/>
      <c r="K11" s="17"/>
      <c r="M11" s="239">
        <f>F5</f>
        <v>1.75</v>
      </c>
      <c r="N11" s="239">
        <f>F25</f>
        <v>5810.47623266729</v>
      </c>
      <c r="O11" s="239">
        <f>F27</f>
        <v>2201.8287814380915</v>
      </c>
    </row>
    <row r="12" spans="1:15" ht="15">
      <c r="A12" s="117" t="s">
        <v>31</v>
      </c>
      <c r="B12" s="122"/>
      <c r="C12" s="122"/>
      <c r="D12" s="66">
        <v>945.094381</v>
      </c>
      <c r="E12" s="66">
        <v>956.7470059999999</v>
      </c>
      <c r="F12" s="66">
        <v>968.399631</v>
      </c>
      <c r="G12" s="66">
        <v>980.0522559999999</v>
      </c>
      <c r="H12" s="66">
        <v>991.7048809999999</v>
      </c>
      <c r="I12" s="66">
        <v>0</v>
      </c>
      <c r="J12" s="4"/>
      <c r="K12" s="17"/>
      <c r="M12" s="239">
        <f>G5</f>
        <v>2</v>
      </c>
      <c r="N12" s="239">
        <f>G25</f>
        <v>6147.095031598937</v>
      </c>
      <c r="O12" s="239">
        <f>G27</f>
        <v>2201.8287814380915</v>
      </c>
    </row>
    <row r="13" spans="1:15" ht="15">
      <c r="A13" s="117" t="s">
        <v>32</v>
      </c>
      <c r="B13" s="122"/>
      <c r="C13" s="122"/>
      <c r="D13" s="66">
        <v>682.2228</v>
      </c>
      <c r="E13" s="66">
        <v>683.7553</v>
      </c>
      <c r="F13" s="66">
        <v>685.2878000000001</v>
      </c>
      <c r="G13" s="66">
        <v>686.8203000000001</v>
      </c>
      <c r="H13" s="66">
        <v>688.3528</v>
      </c>
      <c r="I13" s="66">
        <v>0</v>
      </c>
      <c r="J13" s="4"/>
      <c r="K13" s="17"/>
      <c r="M13" s="239">
        <f>H5</f>
        <v>2.25</v>
      </c>
      <c r="N13" s="239">
        <f>H25</f>
        <v>6483.713830530581</v>
      </c>
      <c r="O13" s="239">
        <f>H27</f>
        <v>2201.8287814380915</v>
      </c>
    </row>
    <row r="14" spans="1:15" ht="15">
      <c r="A14" s="117" t="s">
        <v>33</v>
      </c>
      <c r="B14" s="122"/>
      <c r="C14" s="122"/>
      <c r="D14" s="66">
        <v>244</v>
      </c>
      <c r="E14" s="66">
        <v>244</v>
      </c>
      <c r="F14" s="66">
        <v>244</v>
      </c>
      <c r="G14" s="66">
        <v>244</v>
      </c>
      <c r="H14" s="66">
        <v>244</v>
      </c>
      <c r="I14" s="66">
        <v>0</v>
      </c>
      <c r="J14" s="4"/>
      <c r="K14" s="17"/>
      <c r="M14" s="239">
        <f>I5</f>
        <v>0</v>
      </c>
      <c r="N14" s="239">
        <f>I25</f>
        <v>0</v>
      </c>
      <c r="O14" s="239">
        <f>I27</f>
        <v>0</v>
      </c>
    </row>
    <row r="15" spans="1:11" ht="12.75">
      <c r="A15" s="117" t="s">
        <v>34</v>
      </c>
      <c r="B15" s="122"/>
      <c r="C15" s="122"/>
      <c r="D15" s="66">
        <v>371</v>
      </c>
      <c r="E15" s="66">
        <v>371</v>
      </c>
      <c r="F15" s="66">
        <v>371</v>
      </c>
      <c r="G15" s="66">
        <v>371</v>
      </c>
      <c r="H15" s="66">
        <v>371</v>
      </c>
      <c r="I15" s="66">
        <v>0</v>
      </c>
      <c r="J15" s="4"/>
      <c r="K15" s="17"/>
    </row>
    <row r="16" spans="1:11" ht="12.75">
      <c r="A16" s="117" t="s">
        <v>35</v>
      </c>
      <c r="B16" s="122"/>
      <c r="C16" s="122"/>
      <c r="D16" s="66">
        <v>164.21437500000002</v>
      </c>
      <c r="E16" s="66">
        <v>197.05724999999998</v>
      </c>
      <c r="F16" s="66">
        <v>229.90012500000003</v>
      </c>
      <c r="G16" s="66">
        <v>262.743</v>
      </c>
      <c r="H16" s="66">
        <v>295.585875</v>
      </c>
      <c r="I16" s="66">
        <v>0</v>
      </c>
      <c r="J16" s="4"/>
      <c r="K16" s="17"/>
    </row>
    <row r="17" spans="1:11" ht="12.75">
      <c r="A17" s="117" t="s">
        <v>36</v>
      </c>
      <c r="B17" s="122"/>
      <c r="C17" s="122"/>
      <c r="D17" s="66">
        <v>208.08527041709957</v>
      </c>
      <c r="E17" s="66">
        <v>221.72010788184653</v>
      </c>
      <c r="F17" s="66">
        <v>235.35494534659347</v>
      </c>
      <c r="G17" s="66">
        <v>248.98978281134032</v>
      </c>
      <c r="H17" s="66">
        <v>262.6246202760873</v>
      </c>
      <c r="I17" s="66">
        <v>0</v>
      </c>
      <c r="J17" s="4"/>
      <c r="K17" s="17"/>
    </row>
    <row r="18" spans="1:11" ht="12.75">
      <c r="A18" s="117" t="s">
        <v>37</v>
      </c>
      <c r="B18" s="122"/>
      <c r="C18" s="122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4"/>
      <c r="K18" s="17"/>
    </row>
    <row r="19" spans="1:11" ht="12.75">
      <c r="A19" s="117" t="s">
        <v>38</v>
      </c>
      <c r="B19" s="122"/>
      <c r="C19" s="122"/>
      <c r="D19" s="66">
        <v>673.7</v>
      </c>
      <c r="E19" s="66">
        <v>808.44</v>
      </c>
      <c r="F19" s="66">
        <v>943.1800000000001</v>
      </c>
      <c r="G19" s="66">
        <v>1077.92</v>
      </c>
      <c r="H19" s="66">
        <v>1212.66</v>
      </c>
      <c r="I19" s="66">
        <v>0</v>
      </c>
      <c r="J19" s="4"/>
      <c r="K19" s="17"/>
    </row>
    <row r="20" spans="1:11" ht="12.75">
      <c r="A20" s="117" t="s">
        <v>39</v>
      </c>
      <c r="B20" s="122"/>
      <c r="C20" s="122"/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4"/>
      <c r="K20" s="17"/>
    </row>
    <row r="21" spans="1:11" ht="12.75">
      <c r="A21" s="117" t="s">
        <v>40</v>
      </c>
      <c r="B21" s="122"/>
      <c r="C21" s="122"/>
      <c r="D21" s="66">
        <v>120</v>
      </c>
      <c r="E21" s="66">
        <v>120</v>
      </c>
      <c r="F21" s="66">
        <v>120</v>
      </c>
      <c r="G21" s="66">
        <v>120</v>
      </c>
      <c r="H21" s="66">
        <v>120</v>
      </c>
      <c r="I21" s="66">
        <v>0</v>
      </c>
      <c r="J21" s="4"/>
      <c r="K21" s="17"/>
    </row>
    <row r="22" spans="1:11" ht="12.75">
      <c r="A22" s="117" t="s">
        <v>41</v>
      </c>
      <c r="B22" s="122"/>
      <c r="C22" s="122"/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4"/>
      <c r="K22" s="17"/>
    </row>
    <row r="23" spans="1:11" ht="12.75">
      <c r="A23" s="117" t="s">
        <v>42</v>
      </c>
      <c r="B23" s="122"/>
      <c r="C23" s="122"/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4"/>
      <c r="K23" s="17"/>
    </row>
    <row r="24" spans="1:11" ht="13.5" thickBot="1">
      <c r="A24" s="117" t="s">
        <v>43</v>
      </c>
      <c r="B24" s="122"/>
      <c r="C24" s="122"/>
      <c r="D24" s="66">
        <v>256.2518083868977</v>
      </c>
      <c r="E24" s="66">
        <v>273.04276985379687</v>
      </c>
      <c r="F24" s="66">
        <v>289.8337313206962</v>
      </c>
      <c r="G24" s="66">
        <v>306.6246927875954</v>
      </c>
      <c r="H24" s="66">
        <v>323.4156542544946</v>
      </c>
      <c r="I24" s="66">
        <v>0</v>
      </c>
      <c r="J24" s="4"/>
      <c r="K24" s="17"/>
    </row>
    <row r="25" spans="1:11" ht="27.75" customHeight="1" thickBot="1">
      <c r="A25" s="260" t="s">
        <v>44</v>
      </c>
      <c r="B25" s="261"/>
      <c r="C25" s="262"/>
      <c r="D25" s="67">
        <f>SUM(D9:D24)</f>
        <v>5137.238634803998</v>
      </c>
      <c r="E25" s="67">
        <f>SUM(E9:E24)</f>
        <v>5473.857433735642</v>
      </c>
      <c r="F25" s="67">
        <f>SUM(F9:F24)</f>
        <v>5810.47623266729</v>
      </c>
      <c r="G25" s="67">
        <f>SUM(G9:G24)</f>
        <v>6147.095031598937</v>
      </c>
      <c r="H25" s="67">
        <f>SUM(H9:H24)</f>
        <v>6483.713830530581</v>
      </c>
      <c r="I25" s="67">
        <v>0</v>
      </c>
      <c r="J25" s="4"/>
      <c r="K25" s="17"/>
    </row>
    <row r="26" spans="1:11" ht="13.5" thickBot="1">
      <c r="A26" s="123"/>
      <c r="B26" s="124"/>
      <c r="C26" s="124"/>
      <c r="D26" s="68"/>
      <c r="E26" s="68"/>
      <c r="F26" s="68"/>
      <c r="G26" s="68"/>
      <c r="H26" s="68"/>
      <c r="I26" s="68"/>
      <c r="J26" s="4"/>
      <c r="K26" s="17"/>
    </row>
    <row r="27" spans="1:11" ht="13.5" thickBot="1">
      <c r="A27" s="263" t="s">
        <v>45</v>
      </c>
      <c r="B27" s="264"/>
      <c r="C27" s="265"/>
      <c r="D27" s="67">
        <v>2201.8287814380915</v>
      </c>
      <c r="E27" s="67">
        <v>2201.8287814380915</v>
      </c>
      <c r="F27" s="67">
        <v>2201.8287814380915</v>
      </c>
      <c r="G27" s="67">
        <v>2201.8287814380915</v>
      </c>
      <c r="H27" s="67">
        <v>2201.8287814380915</v>
      </c>
      <c r="I27" s="67">
        <v>0</v>
      </c>
      <c r="J27" s="30"/>
      <c r="K27" s="17"/>
    </row>
    <row r="28" spans="1:11" ht="13.5" thickBot="1">
      <c r="A28" s="123"/>
      <c r="B28" s="124"/>
      <c r="C28" s="124"/>
      <c r="D28" s="68"/>
      <c r="E28" s="68"/>
      <c r="F28" s="68"/>
      <c r="G28" s="68"/>
      <c r="H28" s="68"/>
      <c r="I28" s="68"/>
      <c r="J28" s="4"/>
      <c r="K28" s="17"/>
    </row>
    <row r="29" spans="1:11" ht="26.25" customHeight="1" thickBot="1">
      <c r="A29" s="260" t="s">
        <v>46</v>
      </c>
      <c r="B29" s="261"/>
      <c r="C29" s="262"/>
      <c r="D29" s="67">
        <f>D25+D27</f>
        <v>7339.067416242089</v>
      </c>
      <c r="E29" s="67">
        <f>E25+E27</f>
        <v>7675.686215173733</v>
      </c>
      <c r="F29" s="67">
        <f>F25+F27</f>
        <v>8012.305014105381</v>
      </c>
      <c r="G29" s="67">
        <f>G25+G27</f>
        <v>8348.923813037029</v>
      </c>
      <c r="H29" s="67">
        <f>H25+H27</f>
        <v>8685.542611968673</v>
      </c>
      <c r="I29" s="67">
        <v>0</v>
      </c>
      <c r="J29" s="4"/>
      <c r="K29" s="4"/>
    </row>
    <row r="30" spans="1:11" ht="13.5" thickBot="1">
      <c r="A30" s="118"/>
      <c r="B30" s="119"/>
      <c r="C30" s="119"/>
      <c r="D30" s="70"/>
      <c r="E30" s="70"/>
      <c r="F30" s="70"/>
      <c r="G30" s="70"/>
      <c r="H30" s="70"/>
      <c r="I30" s="70"/>
      <c r="J30" s="4"/>
      <c r="K30" s="4"/>
    </row>
    <row r="31" spans="1:11" ht="28.5" customHeight="1" thickBot="1">
      <c r="A31" s="260" t="s">
        <v>47</v>
      </c>
      <c r="B31" s="279"/>
      <c r="C31" s="280"/>
      <c r="D31" s="67">
        <f>D29/D5</f>
        <v>5871.253932993672</v>
      </c>
      <c r="E31" s="67">
        <f>E29/E5</f>
        <v>5117.124143449156</v>
      </c>
      <c r="F31" s="67">
        <f>F29/F5</f>
        <v>4578.460008060218</v>
      </c>
      <c r="G31" s="67">
        <f>G29/G5</f>
        <v>4174.461906518514</v>
      </c>
      <c r="H31" s="67">
        <f>H29/H5</f>
        <v>3860.2411608749658</v>
      </c>
      <c r="I31" s="67">
        <v>0</v>
      </c>
      <c r="J31" s="4"/>
      <c r="K31" s="4"/>
    </row>
    <row r="32" spans="1:11" ht="13.5" thickBot="1">
      <c r="A32" s="118"/>
      <c r="B32" s="119"/>
      <c r="C32" s="119"/>
      <c r="D32" s="70"/>
      <c r="E32" s="70"/>
      <c r="F32" s="70"/>
      <c r="G32" s="70"/>
      <c r="H32" s="70"/>
      <c r="I32" s="70"/>
      <c r="J32" s="4"/>
      <c r="K32" s="17"/>
    </row>
    <row r="33" spans="1:11" ht="13.5" thickBot="1">
      <c r="A33" s="116" t="s">
        <v>48</v>
      </c>
      <c r="B33" s="129"/>
      <c r="C33" s="129"/>
      <c r="D33" s="67">
        <f>'Pryse + Sensatiwiteitsanali'!D6</f>
        <v>63</v>
      </c>
      <c r="E33" s="67">
        <f>$D$33</f>
        <v>63</v>
      </c>
      <c r="F33" s="67">
        <f>$D$33</f>
        <v>63</v>
      </c>
      <c r="G33" s="67">
        <f>$D$33</f>
        <v>63</v>
      </c>
      <c r="H33" s="67">
        <f>$D$33</f>
        <v>63</v>
      </c>
      <c r="I33" s="67">
        <v>0</v>
      </c>
      <c r="J33" s="4"/>
      <c r="K33" s="17"/>
    </row>
    <row r="34" spans="1:11" ht="13.5" thickBot="1">
      <c r="A34" s="118"/>
      <c r="B34" s="119"/>
      <c r="C34" s="119"/>
      <c r="D34" s="70"/>
      <c r="E34" s="70"/>
      <c r="F34" s="70"/>
      <c r="G34" s="70"/>
      <c r="H34" s="70"/>
      <c r="I34" s="70"/>
      <c r="J34" s="4"/>
      <c r="K34" s="17"/>
    </row>
    <row r="35" spans="1:11" ht="26.25" customHeight="1" thickBot="1">
      <c r="A35" s="287" t="s">
        <v>49</v>
      </c>
      <c r="B35" s="279"/>
      <c r="C35" s="280"/>
      <c r="D35" s="69">
        <f>D31+D33</f>
        <v>5934.253932993672</v>
      </c>
      <c r="E35" s="69">
        <f>E31+E33</f>
        <v>5180.124143449156</v>
      </c>
      <c r="F35" s="69">
        <f>F31+F33</f>
        <v>4641.460008060218</v>
      </c>
      <c r="G35" s="69">
        <f>G31+G33</f>
        <v>4237.461906518514</v>
      </c>
      <c r="H35" s="69">
        <f>H31+H33</f>
        <v>3923.2411608749658</v>
      </c>
      <c r="I35" s="69">
        <v>0</v>
      </c>
      <c r="J35" s="4"/>
      <c r="K35" s="17"/>
    </row>
    <row r="36" spans="1:11" ht="13.5" thickBot="1">
      <c r="A36" s="125" t="s">
        <v>50</v>
      </c>
      <c r="B36" s="126"/>
      <c r="C36" s="127"/>
      <c r="D36" s="69">
        <f>'Pryse + Sensatiwiteitsanali'!B6</f>
        <v>6200</v>
      </c>
      <c r="E36" s="69">
        <f>$D$36</f>
        <v>6200</v>
      </c>
      <c r="F36" s="69">
        <f>$D$36</f>
        <v>6200</v>
      </c>
      <c r="G36" s="69">
        <f>$D$36</f>
        <v>6200</v>
      </c>
      <c r="H36" s="69">
        <f>$D$36</f>
        <v>6200</v>
      </c>
      <c r="I36" s="69">
        <v>0</v>
      </c>
      <c r="J36" s="17"/>
      <c r="K36" s="4"/>
    </row>
    <row r="37" spans="4:10" ht="12.75">
      <c r="D37" s="63"/>
      <c r="E37" s="63"/>
      <c r="F37" s="63"/>
      <c r="G37" s="63"/>
      <c r="H37" s="63"/>
      <c r="I37" s="4"/>
      <c r="J37" s="4"/>
    </row>
    <row r="38" spans="1:10" ht="13.5" thickBot="1">
      <c r="A38" s="4"/>
      <c r="B38" s="32"/>
      <c r="C38" s="4"/>
      <c r="D38" s="4"/>
      <c r="E38" s="4"/>
      <c r="F38" s="4"/>
      <c r="G38" s="4"/>
      <c r="H38" s="4"/>
      <c r="I38" s="17"/>
      <c r="J38" s="4"/>
    </row>
    <row r="39" spans="1:10" ht="12.75">
      <c r="A39" s="1" t="s">
        <v>8</v>
      </c>
      <c r="B39" s="33"/>
      <c r="C39" s="34"/>
      <c r="D39" s="34"/>
      <c r="E39" s="34"/>
      <c r="F39" s="34"/>
      <c r="G39" s="34"/>
      <c r="H39" s="35"/>
      <c r="I39" s="17"/>
      <c r="J39" s="4"/>
    </row>
    <row r="40" spans="1:10" ht="12.75">
      <c r="A40" s="36" t="s">
        <v>1</v>
      </c>
      <c r="B40" s="37"/>
      <c r="C40" s="38"/>
      <c r="D40" s="39"/>
      <c r="E40" s="39"/>
      <c r="F40" s="39"/>
      <c r="G40" s="39"/>
      <c r="H40" s="40"/>
      <c r="I40" s="17"/>
      <c r="J40" s="4"/>
    </row>
    <row r="41" spans="1:16" ht="13.5" thickBot="1">
      <c r="A41" s="41" t="s">
        <v>0</v>
      </c>
      <c r="B41" s="42"/>
      <c r="C41" s="43"/>
      <c r="D41" s="43"/>
      <c r="E41" s="43"/>
      <c r="F41" s="43"/>
      <c r="G41" s="44"/>
      <c r="H41" s="45"/>
      <c r="I41" s="17"/>
      <c r="J41" s="4"/>
      <c r="P41" s="71"/>
    </row>
    <row r="42" spans="1:10" ht="13.5" thickBot="1">
      <c r="A42" s="46"/>
      <c r="B42" s="11"/>
      <c r="C42" s="47" t="s">
        <v>2</v>
      </c>
      <c r="D42" s="48"/>
      <c r="E42" s="48"/>
      <c r="F42" s="48"/>
      <c r="G42" s="49"/>
      <c r="H42" s="50"/>
      <c r="I42" s="17"/>
      <c r="J42" s="4"/>
    </row>
    <row r="43" spans="1:10" ht="13.5" thickBot="1">
      <c r="A43" s="5"/>
      <c r="B43" s="32"/>
      <c r="C43" s="4"/>
      <c r="D43" s="4"/>
      <c r="E43" s="4"/>
      <c r="F43" s="4"/>
      <c r="G43" s="4"/>
      <c r="H43" s="51"/>
      <c r="I43" s="17"/>
      <c r="J43" s="4"/>
    </row>
    <row r="44" spans="1:10" ht="13.5" thickBot="1">
      <c r="A44" s="5"/>
      <c r="B44" s="52"/>
      <c r="C44" s="53">
        <v>6537</v>
      </c>
      <c r="D44" s="53">
        <v>6637</v>
      </c>
      <c r="E44" s="54">
        <v>6737</v>
      </c>
      <c r="F44" s="53">
        <v>6837</v>
      </c>
      <c r="G44" s="55">
        <v>6937</v>
      </c>
      <c r="H44" s="51"/>
      <c r="I44" s="17"/>
      <c r="J44" s="4"/>
    </row>
    <row r="45" spans="1:10" ht="12.75">
      <c r="A45" s="5"/>
      <c r="B45" s="56">
        <v>1.25</v>
      </c>
      <c r="C45" s="79">
        <v>832.1825837579108</v>
      </c>
      <c r="D45" s="80">
        <v>957.1825837579108</v>
      </c>
      <c r="E45" s="80">
        <v>1082.1825837579108</v>
      </c>
      <c r="F45" s="80">
        <v>1207.1825837579108</v>
      </c>
      <c r="G45" s="81">
        <v>1332.1825837579108</v>
      </c>
      <c r="H45" s="51"/>
      <c r="I45" s="17"/>
      <c r="J45" s="4"/>
    </row>
    <row r="46" spans="1:10" ht="12.75">
      <c r="A46" s="5"/>
      <c r="B46" s="57"/>
      <c r="C46" s="82"/>
      <c r="D46" s="75"/>
      <c r="E46" s="75"/>
      <c r="F46" s="75"/>
      <c r="G46" s="76"/>
      <c r="H46" s="51"/>
      <c r="I46" s="17"/>
      <c r="J46" s="4"/>
    </row>
    <row r="47" spans="1:10" ht="12.75">
      <c r="A47" s="5"/>
      <c r="B47" s="56">
        <v>1.5</v>
      </c>
      <c r="C47" s="82">
        <v>2129.813784826267</v>
      </c>
      <c r="D47" s="75">
        <v>2279.813784826267</v>
      </c>
      <c r="E47" s="75">
        <v>2429.813784826267</v>
      </c>
      <c r="F47" s="75">
        <v>2579.813784826267</v>
      </c>
      <c r="G47" s="76">
        <v>2729.813784826267</v>
      </c>
      <c r="H47" s="51"/>
      <c r="I47" s="17"/>
      <c r="J47" s="4"/>
    </row>
    <row r="48" spans="1:10" ht="13.5" thickBot="1">
      <c r="A48" s="58"/>
      <c r="B48" s="57"/>
      <c r="C48" s="82"/>
      <c r="D48" s="75"/>
      <c r="E48" s="75"/>
      <c r="F48" s="75"/>
      <c r="G48" s="76"/>
      <c r="H48" s="51"/>
      <c r="I48" s="17"/>
      <c r="J48" s="4"/>
    </row>
    <row r="49" spans="1:10" ht="13.5" thickBot="1">
      <c r="A49" s="59" t="s">
        <v>4</v>
      </c>
      <c r="B49" s="60">
        <v>1.75</v>
      </c>
      <c r="C49" s="82">
        <v>3427.444985894619</v>
      </c>
      <c r="D49" s="75">
        <v>3602.444985894619</v>
      </c>
      <c r="E49" s="84">
        <v>3777.444985894619</v>
      </c>
      <c r="F49" s="75">
        <v>3952.444985894619</v>
      </c>
      <c r="G49" s="76">
        <v>4127.444985894619</v>
      </c>
      <c r="H49" s="51"/>
      <c r="I49" s="17"/>
      <c r="J49" s="4"/>
    </row>
    <row r="50" spans="1:10" ht="12.75">
      <c r="A50" s="5"/>
      <c r="B50" s="57"/>
      <c r="C50" s="82"/>
      <c r="D50" s="75"/>
      <c r="E50" s="75"/>
      <c r="F50" s="75"/>
      <c r="G50" s="76"/>
      <c r="H50" s="51"/>
      <c r="I50" s="17"/>
      <c r="J50" s="4"/>
    </row>
    <row r="51" spans="1:10" ht="12.75">
      <c r="A51" s="5"/>
      <c r="B51" s="56">
        <v>2</v>
      </c>
      <c r="C51" s="82">
        <v>4725.076186962971</v>
      </c>
      <c r="D51" s="75">
        <v>4925.076186962971</v>
      </c>
      <c r="E51" s="75">
        <v>5125.076186962971</v>
      </c>
      <c r="F51" s="75">
        <v>5325.076186962971</v>
      </c>
      <c r="G51" s="76">
        <v>5525.076186962971</v>
      </c>
      <c r="H51" s="51"/>
      <c r="I51" s="17"/>
      <c r="J51" s="4"/>
    </row>
    <row r="52" spans="1:10" ht="12.75">
      <c r="A52" s="5"/>
      <c r="B52" s="57"/>
      <c r="C52" s="82"/>
      <c r="D52" s="75"/>
      <c r="E52" s="75"/>
      <c r="F52" s="75"/>
      <c r="G52" s="76"/>
      <c r="H52" s="51"/>
      <c r="I52" s="17"/>
      <c r="J52" s="4"/>
    </row>
    <row r="53" spans="1:10" ht="12.75">
      <c r="A53" s="5"/>
      <c r="B53" s="56">
        <v>2.25</v>
      </c>
      <c r="C53" s="82">
        <v>6022.707388031327</v>
      </c>
      <c r="D53" s="75">
        <v>6247.707388031327</v>
      </c>
      <c r="E53" s="75">
        <v>6472.707388031327</v>
      </c>
      <c r="F53" s="75">
        <v>6697.707388031327</v>
      </c>
      <c r="G53" s="76">
        <v>6922.707388031327</v>
      </c>
      <c r="H53" s="51"/>
      <c r="I53" s="17"/>
      <c r="J53" s="4"/>
    </row>
    <row r="54" spans="1:10" ht="12.75">
      <c r="A54" s="5"/>
      <c r="B54" s="57"/>
      <c r="C54" s="82"/>
      <c r="D54" s="75"/>
      <c r="E54" s="75"/>
      <c r="F54" s="75"/>
      <c r="G54" s="76"/>
      <c r="H54" s="51"/>
      <c r="I54" s="17"/>
      <c r="J54" s="4"/>
    </row>
    <row r="55" spans="1:9" ht="13.5" thickBot="1">
      <c r="A55" s="5"/>
      <c r="B55" s="61">
        <v>0</v>
      </c>
      <c r="C55" s="86">
        <v>0</v>
      </c>
      <c r="D55" s="87">
        <v>0</v>
      </c>
      <c r="E55" s="87">
        <v>0</v>
      </c>
      <c r="F55" s="87">
        <v>0</v>
      </c>
      <c r="G55" s="88">
        <v>0</v>
      </c>
      <c r="H55" s="51"/>
      <c r="I55" s="17"/>
    </row>
    <row r="56" spans="1:8" ht="13.5" thickBot="1">
      <c r="A56" s="62"/>
      <c r="B56" s="13"/>
      <c r="C56" s="13"/>
      <c r="D56" s="13"/>
      <c r="E56" s="13"/>
      <c r="F56" s="13"/>
      <c r="G56" s="13"/>
      <c r="H56" s="6"/>
    </row>
    <row r="57" spans="1:10" ht="15">
      <c r="A57" s="132" t="s">
        <v>55</v>
      </c>
      <c r="B57" s="133"/>
      <c r="C57" s="133"/>
      <c r="D57" s="133"/>
      <c r="E57" s="133"/>
      <c r="F57" s="133"/>
      <c r="G57" s="133"/>
      <c r="H57" s="134"/>
      <c r="I57" s="131"/>
      <c r="J57" s="131"/>
    </row>
    <row r="58" spans="1:10" ht="15">
      <c r="A58" s="135" t="s">
        <v>56</v>
      </c>
      <c r="B58" s="136"/>
      <c r="C58" s="136"/>
      <c r="D58" s="136"/>
      <c r="E58" s="136"/>
      <c r="F58" s="136"/>
      <c r="G58" s="136"/>
      <c r="H58" s="137"/>
      <c r="I58" s="131"/>
      <c r="J58" s="131"/>
    </row>
    <row r="59" spans="1:10" ht="15.75" thickBot="1">
      <c r="A59" s="138" t="s">
        <v>57</v>
      </c>
      <c r="B59" s="139"/>
      <c r="C59" s="139"/>
      <c r="D59" s="139"/>
      <c r="E59" s="139"/>
      <c r="F59" s="139"/>
      <c r="G59" s="139"/>
      <c r="H59" s="140"/>
      <c r="I59" s="131"/>
      <c r="J59" s="131"/>
    </row>
    <row r="101" ht="12.75"/>
    <row r="102" ht="12.75"/>
    <row r="103" ht="12.75"/>
    <row r="104" ht="12.75"/>
    <row r="105" ht="12.75"/>
    <row r="106" ht="12.75"/>
  </sheetData>
  <sheetProtection/>
  <mergeCells count="10">
    <mergeCell ref="M7:O7"/>
    <mergeCell ref="A1:D1"/>
    <mergeCell ref="E1:G1"/>
    <mergeCell ref="A31:C31"/>
    <mergeCell ref="A35:C35"/>
    <mergeCell ref="A3:C3"/>
    <mergeCell ref="A8:C8"/>
    <mergeCell ref="A25:C25"/>
    <mergeCell ref="A27:C27"/>
    <mergeCell ref="A29:C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2"/>
  <headerFooter>
    <oddHeader>&amp;C&amp;F</oddHead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Petru Fourie</cp:lastModifiedBy>
  <cp:lastPrinted>2016-07-28T11:24:11Z</cp:lastPrinted>
  <dcterms:created xsi:type="dcterms:W3CDTF">2007-01-09T12:07:13Z</dcterms:created>
  <dcterms:modified xsi:type="dcterms:W3CDTF">2016-09-06T11:04:40Z</dcterms:modified>
  <cp:category/>
  <cp:version/>
  <cp:contentType/>
  <cp:contentStatus/>
</cp:coreProperties>
</file>